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CLOUD-YTFUCY\VMLserver\VML\Compliance Reporting\MOE-NPRI Emissions Summary\2022\"/>
    </mc:Choice>
  </mc:AlternateContent>
  <bookViews>
    <workbookView xWindow="-5940" yWindow="-20565" windowWidth="33600" windowHeight="20565" activeTab="5"/>
  </bookViews>
  <sheets>
    <sheet name="Comet" sheetId="3" r:id="rId1"/>
    <sheet name="Paints" sheetId="2" r:id="rId2"/>
    <sheet name="Solvent Breakdown" sheetId="4" r:id="rId3"/>
    <sheet name="Total Solvents" sheetId="5" r:id="rId4"/>
    <sheet name="Particulate" sheetId="8" r:id="rId5"/>
    <sheet name="Utilities, NO" sheetId="7" r:id="rId6"/>
  </sheets>
  <externalReferences>
    <externalReference r:id="rId7"/>
  </externalReferences>
  <definedNames>
    <definedName name="_xlnm.Print_Area" localSheetId="0">Comet!$A$1:$U$24</definedName>
    <definedName name="_xlnm.Print_Area" localSheetId="1">Paints!$A$1:$W$64</definedName>
    <definedName name="_xlnm.Print_Area" localSheetId="4">Particulate!$A$1:$F$48</definedName>
    <definedName name="_xlnm.Print_Area" localSheetId="2">'Solvent Breakdown'!$A$1:$F$323</definedName>
    <definedName name="_xlnm.Print_Area" localSheetId="5">'Utilities, NO'!$A$2:$K$47</definedName>
    <definedName name="_xlnm.Print_Titles" localSheetId="2">'Solvent Breakdown'!$1:$4</definedName>
    <definedName name="_xlnm.Print_Titles" localSheetId="3">'Total Solvents'!$1:$4</definedName>
  </definedNames>
  <calcPr calcId="152511"/>
</workbook>
</file>

<file path=xl/calcChain.xml><?xml version="1.0" encoding="utf-8"?>
<calcChain xmlns="http://schemas.openxmlformats.org/spreadsheetml/2006/main">
  <c r="F43" i="5" l="1"/>
  <c r="F38" i="5"/>
  <c r="F18" i="5" l="1"/>
  <c r="N75" i="5"/>
  <c r="P75" i="5" s="1"/>
  <c r="G75" i="5"/>
  <c r="F75" i="5"/>
  <c r="F12" i="5"/>
  <c r="F37" i="5"/>
  <c r="F74" i="5"/>
  <c r="E74" i="5" s="1"/>
  <c r="N74" i="5"/>
  <c r="P74" i="5" s="1"/>
  <c r="F26" i="5"/>
  <c r="F60" i="5"/>
  <c r="F15" i="5"/>
  <c r="F10" i="5"/>
  <c r="O75" i="5" l="1"/>
  <c r="G74" i="5"/>
  <c r="O74" i="5"/>
  <c r="F17" i="5"/>
  <c r="F31" i="5"/>
  <c r="D340" i="4"/>
  <c r="D339" i="4"/>
  <c r="D338" i="4"/>
  <c r="D337" i="4"/>
  <c r="D336" i="4"/>
  <c r="D335" i="4"/>
  <c r="D341" i="4"/>
  <c r="C335" i="4"/>
  <c r="B334" i="4"/>
  <c r="F24" i="5" l="1"/>
  <c r="D65" i="2" l="1"/>
  <c r="S63" i="2"/>
  <c r="R63" i="2"/>
  <c r="S62" i="2"/>
  <c r="R62" i="2"/>
  <c r="K9" i="2" l="1"/>
  <c r="K20" i="2" s="1"/>
  <c r="I12" i="2"/>
  <c r="K15" i="2"/>
  <c r="I15" i="2"/>
  <c r="J18" i="2"/>
  <c r="D17" i="7" l="1"/>
  <c r="D16" i="7"/>
  <c r="D15" i="7"/>
  <c r="D14" i="7"/>
  <c r="D13" i="7"/>
  <c r="D12" i="7"/>
  <c r="D11" i="7"/>
  <c r="D10" i="7"/>
  <c r="D9" i="7"/>
  <c r="D8" i="7"/>
  <c r="D7" i="7"/>
  <c r="D6" i="7"/>
  <c r="B47" i="8"/>
  <c r="F47" i="8" s="1"/>
  <c r="D47" i="8" l="1"/>
  <c r="F72" i="5"/>
  <c r="C327" i="4" l="1"/>
  <c r="Q62" i="2"/>
  <c r="Q63" i="2" s="1"/>
  <c r="B326" i="4" s="1"/>
  <c r="D331" i="4" s="1"/>
  <c r="P62" i="2"/>
  <c r="P63" i="2" s="1"/>
  <c r="B318" i="4" s="1"/>
  <c r="O62" i="2"/>
  <c r="O63" i="2" s="1"/>
  <c r="B308" i="4" s="1"/>
  <c r="N62" i="2"/>
  <c r="N63" i="2" s="1"/>
  <c r="B299" i="4" s="1"/>
  <c r="D304" i="4" s="1"/>
  <c r="M62" i="2"/>
  <c r="M63" i="2" s="1"/>
  <c r="B293" i="4" s="1"/>
  <c r="N49" i="2"/>
  <c r="D303" i="4" l="1"/>
  <c r="D302" i="4"/>
  <c r="D301" i="4"/>
  <c r="D300" i="4"/>
  <c r="D330" i="4"/>
  <c r="D329" i="4"/>
  <c r="F42" i="5" s="1"/>
  <c r="D328" i="4"/>
  <c r="D327" i="4"/>
  <c r="F19" i="5"/>
  <c r="C116" i="4" l="1"/>
  <c r="C86" i="4"/>
  <c r="C87" i="4" s="1"/>
  <c r="S20" i="2"/>
  <c r="S21" i="2" s="1"/>
  <c r="B143" i="4" s="1"/>
  <c r="Q20" i="2"/>
  <c r="Q21" i="2" s="1"/>
  <c r="B128" i="4" s="1"/>
  <c r="D135" i="4" s="1"/>
  <c r="M20" i="2"/>
  <c r="M21" i="2" s="1"/>
  <c r="B88" i="4" s="1"/>
  <c r="D97" i="4" s="1"/>
  <c r="R20" i="2"/>
  <c r="R21" i="2" s="1"/>
  <c r="B136" i="4" s="1"/>
  <c r="D139" i="4" s="1"/>
  <c r="D137" i="4" s="1"/>
  <c r="L20" i="2"/>
  <c r="L21" i="2" s="1"/>
  <c r="B78" i="4" s="1"/>
  <c r="D87" i="4" s="1"/>
  <c r="K21" i="2"/>
  <c r="B69" i="4" s="1"/>
  <c r="D74" i="4" s="1"/>
  <c r="O20" i="2"/>
  <c r="O21" i="2" s="1"/>
  <c r="B106" i="4" s="1"/>
  <c r="D116" i="4" s="1"/>
  <c r="D115" i="4" s="1"/>
  <c r="N20" i="2"/>
  <c r="N21" i="2" s="1"/>
  <c r="B98" i="4" s="1"/>
  <c r="P20" i="2"/>
  <c r="P21" i="2" s="1"/>
  <c r="B117" i="4" s="1"/>
  <c r="D138" i="4" l="1"/>
  <c r="D131" i="4"/>
  <c r="D134" i="4"/>
  <c r="D130" i="4"/>
  <c r="D133" i="4"/>
  <c r="D132" i="4"/>
  <c r="D111" i="4"/>
  <c r="D108" i="4"/>
  <c r="D112" i="4"/>
  <c r="D109" i="4"/>
  <c r="D113" i="4"/>
  <c r="D110" i="4"/>
  <c r="D114" i="4"/>
  <c r="D83" i="4"/>
  <c r="D80" i="4"/>
  <c r="D86" i="4"/>
  <c r="D82" i="4"/>
  <c r="D84" i="4"/>
  <c r="D85" i="4"/>
  <c r="D81" i="4"/>
  <c r="D72" i="4"/>
  <c r="D76" i="4"/>
  <c r="D71" i="4"/>
  <c r="D75" i="4"/>
  <c r="D73" i="4"/>
  <c r="D70" i="4"/>
  <c r="B13" i="8" s="1"/>
  <c r="C144" i="4"/>
  <c r="C150" i="4" s="1"/>
  <c r="F13" i="8" l="1"/>
  <c r="D13" i="8"/>
  <c r="D129" i="4"/>
  <c r="D107" i="4"/>
  <c r="D79" i="4"/>
  <c r="B14" i="8" s="1"/>
  <c r="D77" i="4"/>
  <c r="D14" i="8" l="1"/>
  <c r="F14" i="8"/>
  <c r="V21" i="3"/>
  <c r="V22" i="3" s="1"/>
  <c r="D149" i="4" l="1"/>
  <c r="D147" i="4"/>
  <c r="D145" i="4"/>
  <c r="F9" i="5" s="1"/>
  <c r="N9" i="5" s="1"/>
  <c r="P9" i="5" s="1"/>
  <c r="D146" i="4"/>
  <c r="D144" i="4"/>
  <c r="B21" i="8" s="1"/>
  <c r="D148" i="4"/>
  <c r="F76" i="5" s="1"/>
  <c r="F20" i="8"/>
  <c r="C304" i="4"/>
  <c r="D34" i="7"/>
  <c r="D33" i="7"/>
  <c r="D32" i="7"/>
  <c r="D31" i="7"/>
  <c r="D30" i="7"/>
  <c r="D29" i="7"/>
  <c r="D28" i="7"/>
  <c r="D27" i="7"/>
  <c r="D26" i="7"/>
  <c r="D25" i="7"/>
  <c r="D24" i="7"/>
  <c r="D23" i="7"/>
  <c r="J18" i="7"/>
  <c r="I18" i="7"/>
  <c r="K17" i="7"/>
  <c r="K16" i="7"/>
  <c r="K15" i="7"/>
  <c r="K14" i="7"/>
  <c r="K13" i="7"/>
  <c r="K12" i="7"/>
  <c r="K11" i="7"/>
  <c r="K10" i="7"/>
  <c r="K9" i="7"/>
  <c r="K8" i="7"/>
  <c r="K7" i="7"/>
  <c r="K6" i="7"/>
  <c r="E6" i="7"/>
  <c r="F6" i="7" s="1"/>
  <c r="E7" i="7"/>
  <c r="E8" i="7"/>
  <c r="E9" i="7"/>
  <c r="E10" i="7"/>
  <c r="E11" i="7"/>
  <c r="E12" i="7"/>
  <c r="E13" i="7"/>
  <c r="E14" i="7"/>
  <c r="E15" i="7" s="1"/>
  <c r="E16" i="7"/>
  <c r="E17" i="7"/>
  <c r="F11" i="5" l="1"/>
  <c r="N11" i="5" s="1"/>
  <c r="P11" i="5" s="1"/>
  <c r="K18" i="7"/>
  <c r="N76" i="5"/>
  <c r="O76" i="5" s="1"/>
  <c r="G76" i="5"/>
  <c r="E76" i="5"/>
  <c r="F21" i="8"/>
  <c r="D21" i="8"/>
  <c r="D150" i="4"/>
  <c r="D20" i="8"/>
  <c r="F59" i="5" l="1"/>
  <c r="N59" i="5" s="1"/>
  <c r="P59" i="5" s="1"/>
  <c r="F49" i="5"/>
  <c r="N49" i="5" s="1"/>
  <c r="P49" i="5" s="1"/>
  <c r="C68" i="4" l="1"/>
  <c r="C203" i="4" l="1"/>
  <c r="D203" i="4"/>
  <c r="C97" i="4"/>
  <c r="C139" i="4"/>
  <c r="C77" i="4"/>
  <c r="J20" i="2" l="1"/>
  <c r="J21" i="2" s="1"/>
  <c r="B61" i="4" s="1"/>
  <c r="D64" i="4" l="1"/>
  <c r="D67" i="4"/>
  <c r="D63" i="4"/>
  <c r="D66" i="4"/>
  <c r="D62" i="4"/>
  <c r="D65" i="4"/>
  <c r="F50" i="5"/>
  <c r="N50" i="5" s="1"/>
  <c r="P50" i="5" s="1"/>
  <c r="O72" i="5"/>
  <c r="O69" i="5"/>
  <c r="O66" i="5"/>
  <c r="O65" i="5"/>
  <c r="O64" i="5"/>
  <c r="O63" i="5"/>
  <c r="O51" i="5"/>
  <c r="O40" i="5"/>
  <c r="O33" i="5"/>
  <c r="O21" i="5"/>
  <c r="J43" i="5"/>
  <c r="J52" i="5"/>
  <c r="J50" i="5"/>
  <c r="J45" i="5"/>
  <c r="J44" i="5"/>
  <c r="J30" i="5"/>
  <c r="J27" i="5"/>
  <c r="G33" i="5" l="1"/>
  <c r="E33" i="5"/>
  <c r="C289" i="4"/>
  <c r="C323" i="4"/>
  <c r="C317" i="4"/>
  <c r="C298" i="4"/>
  <c r="C283" i="4"/>
  <c r="C277" i="4"/>
  <c r="C272" i="4"/>
  <c r="C198" i="4"/>
  <c r="C193" i="4"/>
  <c r="C188" i="4"/>
  <c r="C263" i="4"/>
  <c r="C256" i="4"/>
  <c r="C250" i="4"/>
  <c r="C244" i="4"/>
  <c r="C238" i="4"/>
  <c r="C233" i="4"/>
  <c r="C223" i="4"/>
  <c r="C216" i="4"/>
  <c r="C210" i="4"/>
  <c r="C180" i="4"/>
  <c r="C175" i="4"/>
  <c r="C166" i="4"/>
  <c r="C158" i="4"/>
  <c r="C135" i="4"/>
  <c r="C51" i="4"/>
  <c r="C44" i="4"/>
  <c r="C38" i="4"/>
  <c r="C33" i="4"/>
  <c r="C26" i="4"/>
  <c r="C19" i="4"/>
  <c r="F57" i="5"/>
  <c r="F52" i="5"/>
  <c r="O49" i="5"/>
  <c r="F48" i="5"/>
  <c r="F47" i="5"/>
  <c r="F40" i="5"/>
  <c r="G40" i="5" s="1"/>
  <c r="N57" i="5" l="1"/>
  <c r="P57" i="5" s="1"/>
  <c r="N52" i="5"/>
  <c r="E59" i="5"/>
  <c r="G48" i="5"/>
  <c r="G52" i="5"/>
  <c r="G59" i="5"/>
  <c r="E47" i="5"/>
  <c r="O48" i="5"/>
  <c r="G42" i="5"/>
  <c r="E49" i="5"/>
  <c r="G49" i="5"/>
  <c r="G57" i="5"/>
  <c r="E42" i="5"/>
  <c r="E40" i="5"/>
  <c r="E48" i="5"/>
  <c r="E52" i="5"/>
  <c r="G47" i="5"/>
  <c r="E57" i="5"/>
  <c r="F21" i="5"/>
  <c r="B36" i="8"/>
  <c r="F36" i="8" s="1"/>
  <c r="B34" i="8"/>
  <c r="F34" i="8" s="1"/>
  <c r="B33" i="8"/>
  <c r="F33" i="8" s="1"/>
  <c r="B32" i="8"/>
  <c r="F32" i="8" s="1"/>
  <c r="B31" i="8"/>
  <c r="F31" i="8" s="1"/>
  <c r="B30" i="8"/>
  <c r="F30" i="8" s="1"/>
  <c r="F25" i="8"/>
  <c r="B24" i="8"/>
  <c r="F24" i="8" s="1"/>
  <c r="B22" i="8"/>
  <c r="F22" i="8" s="1"/>
  <c r="B19" i="8"/>
  <c r="F19" i="8" s="1"/>
  <c r="B9" i="8"/>
  <c r="F9" i="8" s="1"/>
  <c r="B7" i="8"/>
  <c r="F7" i="8" s="1"/>
  <c r="B6" i="8"/>
  <c r="F6" i="8" s="1"/>
  <c r="B5" i="8"/>
  <c r="F5" i="8" s="1"/>
  <c r="O52" i="5" l="1"/>
  <c r="P52" i="5"/>
  <c r="O57" i="5"/>
  <c r="O59" i="5"/>
  <c r="O47" i="5"/>
  <c r="O42" i="5"/>
  <c r="G21" i="5"/>
  <c r="E21" i="5"/>
  <c r="D30" i="8"/>
  <c r="D34" i="8"/>
  <c r="D7" i="8"/>
  <c r="D31" i="8"/>
  <c r="D5" i="8"/>
  <c r="D9" i="8"/>
  <c r="D24" i="8"/>
  <c r="D32" i="8"/>
  <c r="D36" i="8"/>
  <c r="D6" i="8"/>
  <c r="D19" i="8"/>
  <c r="D22" i="8"/>
  <c r="D25" i="8"/>
  <c r="D33" i="8"/>
  <c r="D19" i="4"/>
  <c r="C13" i="4" l="1"/>
  <c r="C105" i="4"/>
  <c r="C127" i="4"/>
  <c r="C60" i="4"/>
  <c r="AW242" i="7"/>
  <c r="AW234" i="7"/>
  <c r="AW222" i="7"/>
  <c r="AW212" i="7"/>
  <c r="AW200" i="7"/>
  <c r="AX199" i="7"/>
  <c r="AW197" i="7"/>
  <c r="AX187" i="7"/>
  <c r="AW177" i="7"/>
  <c r="AX176" i="7"/>
  <c r="AW169" i="7"/>
  <c r="AX168" i="7"/>
  <c r="AW162" i="7"/>
  <c r="AW152" i="7"/>
  <c r="AW144" i="7"/>
  <c r="AW137" i="7"/>
  <c r="AW134" i="7"/>
  <c r="AW123" i="7"/>
  <c r="AW120" i="7"/>
  <c r="AW114" i="7"/>
  <c r="AW103" i="7"/>
  <c r="AW95" i="7"/>
  <c r="AW83" i="7"/>
  <c r="AW80" i="7"/>
  <c r="AW68" i="7"/>
  <c r="AW61" i="7"/>
  <c r="AW50" i="7"/>
  <c r="AW47" i="7"/>
  <c r="CH44" i="7"/>
  <c r="D44" i="7"/>
  <c r="AW37" i="7"/>
  <c r="C35" i="7"/>
  <c r="B35" i="7"/>
  <c r="AW16" i="7"/>
  <c r="AW10" i="7"/>
  <c r="AW3" i="7"/>
  <c r="AV241" i="7"/>
  <c r="AX250" i="7" s="1"/>
  <c r="AV199" i="7"/>
  <c r="AX208" i="7" s="1"/>
  <c r="AV161" i="7"/>
  <c r="AX165" i="7" s="1"/>
  <c r="AV129" i="7"/>
  <c r="AX134" i="7" s="1"/>
  <c r="AV97" i="7"/>
  <c r="AX103" i="7" s="1"/>
  <c r="AV49" i="7"/>
  <c r="AX58" i="7" s="1"/>
  <c r="AV9" i="7"/>
  <c r="AX13" i="7" s="1"/>
  <c r="AV233" i="7"/>
  <c r="AX238" i="7" s="1"/>
  <c r="AV221" i="7"/>
  <c r="AX230" i="7" s="1"/>
  <c r="AV211" i="7"/>
  <c r="AX219" i="7" s="1"/>
  <c r="AV187" i="7"/>
  <c r="AV176" i="7"/>
  <c r="AV168" i="7"/>
  <c r="AV151" i="7"/>
  <c r="AV143" i="7"/>
  <c r="AX149" i="7" s="1"/>
  <c r="AX144" i="7" s="1"/>
  <c r="AV277" i="7" s="1"/>
  <c r="AX277" i="7" s="1"/>
  <c r="AV136" i="7"/>
  <c r="AX141" i="7" s="1"/>
  <c r="AV122" i="7"/>
  <c r="AX127" i="7" s="1"/>
  <c r="AV116" i="7"/>
  <c r="AX120" i="7" s="1"/>
  <c r="AV105" i="7"/>
  <c r="AX114" i="7" s="1"/>
  <c r="AV90" i="7"/>
  <c r="AX95" i="7" s="1"/>
  <c r="AX93" i="7" s="1"/>
  <c r="AV75" i="7"/>
  <c r="AX80" i="7" s="1"/>
  <c r="AV67" i="7"/>
  <c r="AX72" i="7" s="1"/>
  <c r="AV60" i="7"/>
  <c r="AX65" i="7" s="1"/>
  <c r="AV44" i="7"/>
  <c r="AX47" i="7" s="1"/>
  <c r="AV19" i="7"/>
  <c r="AX42" i="7" s="1"/>
  <c r="AV15" i="7"/>
  <c r="AV2" i="7"/>
  <c r="AX6" i="7" s="1"/>
  <c r="AV82" i="7"/>
  <c r="AX88" i="7" s="1"/>
  <c r="BD11" i="7"/>
  <c r="D35" i="7" l="1"/>
  <c r="AX174" i="7"/>
  <c r="AX172" i="7" s="1"/>
  <c r="AX197" i="7"/>
  <c r="AX193" i="7" s="1"/>
  <c r="E47" i="7"/>
  <c r="AX76" i="7"/>
  <c r="AV268" i="7" s="1"/>
  <c r="AX268" i="7" s="1"/>
  <c r="AX79" i="7"/>
  <c r="AX78" i="7"/>
  <c r="AX77" i="7"/>
  <c r="BD10" i="7"/>
  <c r="AX87" i="7"/>
  <c r="AX83" i="7"/>
  <c r="AV269" i="7" s="1"/>
  <c r="AX269" i="7" s="1"/>
  <c r="AX86" i="7"/>
  <c r="AX85" i="7"/>
  <c r="AX84" i="7"/>
  <c r="AX217" i="7"/>
  <c r="AX213" i="7"/>
  <c r="AX216" i="7"/>
  <c r="BD6" i="7" s="1"/>
  <c r="AX215" i="7"/>
  <c r="AX218" i="7"/>
  <c r="BD7" i="7" s="1"/>
  <c r="AX214" i="7"/>
  <c r="AX204" i="7"/>
  <c r="AX207" i="7"/>
  <c r="AX203" i="7"/>
  <c r="AX206" i="7"/>
  <c r="AX202" i="7"/>
  <c r="AX205" i="7"/>
  <c r="AX201" i="7"/>
  <c r="AX200" i="7" s="1"/>
  <c r="AV283" i="7" s="1"/>
  <c r="AX283" i="7" s="1"/>
  <c r="AX68" i="7"/>
  <c r="AV267" i="7" s="1"/>
  <c r="AX267" i="7" s="1"/>
  <c r="BC11" i="7"/>
  <c r="BL11" i="7"/>
  <c r="BM11" i="7" s="1"/>
  <c r="BE11" i="7"/>
  <c r="AV254" i="7"/>
  <c r="AX12" i="7"/>
  <c r="AX11" i="7"/>
  <c r="AX10" i="7"/>
  <c r="AV261" i="7" s="1"/>
  <c r="AX261" i="7" s="1"/>
  <c r="AV256" i="7"/>
  <c r="AX256" i="7" s="1"/>
  <c r="AX40" i="7"/>
  <c r="AX37" i="7"/>
  <c r="AV263" i="7" s="1"/>
  <c r="AX263" i="7" s="1"/>
  <c r="AX41" i="7"/>
  <c r="AX39" i="7"/>
  <c r="AX38" i="7"/>
  <c r="AX70" i="7"/>
  <c r="AX69" i="7"/>
  <c r="AX71" i="7"/>
  <c r="AX92" i="7"/>
  <c r="AX91" i="7"/>
  <c r="AV270" i="7" s="1"/>
  <c r="AX270" i="7" s="1"/>
  <c r="AX94" i="7"/>
  <c r="AX123" i="7"/>
  <c r="AV274" i="7" s="1"/>
  <c r="AX274" i="7" s="1"/>
  <c r="AX126" i="7"/>
  <c r="BD1" i="7" s="1"/>
  <c r="AX125" i="7"/>
  <c r="AX124" i="7"/>
  <c r="AX155" i="7"/>
  <c r="AX158" i="7"/>
  <c r="AX154" i="7"/>
  <c r="AX157" i="7"/>
  <c r="AX153" i="7"/>
  <c r="AX152" i="7"/>
  <c r="AX156" i="7"/>
  <c r="AX194" i="7"/>
  <c r="AX190" i="7"/>
  <c r="AX191" i="7"/>
  <c r="AX234" i="7"/>
  <c r="AV286" i="7" s="1"/>
  <c r="AX286" i="7" s="1"/>
  <c r="AX237" i="7"/>
  <c r="BD9" i="7" s="1"/>
  <c r="AX236" i="7"/>
  <c r="AX235" i="7"/>
  <c r="AX5" i="7"/>
  <c r="AX4" i="7"/>
  <c r="AX45" i="7"/>
  <c r="AV264" i="7" s="1"/>
  <c r="AX264" i="7" s="1"/>
  <c r="AX46" i="7"/>
  <c r="AX54" i="7"/>
  <c r="AX50" i="7"/>
  <c r="AV265" i="7" s="1"/>
  <c r="AX265" i="7" s="1"/>
  <c r="AX57" i="7"/>
  <c r="AX53" i="7"/>
  <c r="AX56" i="7"/>
  <c r="AX52" i="7"/>
  <c r="AX51" i="7"/>
  <c r="AX100" i="7"/>
  <c r="AX99" i="7"/>
  <c r="AX102" i="7"/>
  <c r="AX98" i="7"/>
  <c r="AV271" i="7" s="1"/>
  <c r="AX271" i="7" s="1"/>
  <c r="AX101" i="7"/>
  <c r="AX247" i="7"/>
  <c r="AX243" i="7"/>
  <c r="AX242" i="7" s="1"/>
  <c r="AV287" i="7" s="1"/>
  <c r="AX287" i="7" s="1"/>
  <c r="AX246" i="7"/>
  <c r="AX249" i="7"/>
  <c r="AX245" i="7"/>
  <c r="AX248" i="7"/>
  <c r="AX112" i="7"/>
  <c r="AX108" i="7"/>
  <c r="AX111" i="7"/>
  <c r="AX107" i="7"/>
  <c r="AX110" i="7"/>
  <c r="AX106" i="7"/>
  <c r="AV272" i="7" s="1"/>
  <c r="AX272" i="7" s="1"/>
  <c r="AX113" i="7"/>
  <c r="AX109" i="7"/>
  <c r="AX139" i="7"/>
  <c r="AX138" i="7"/>
  <c r="AX137" i="7"/>
  <c r="AV276" i="7" s="1"/>
  <c r="AX276" i="7" s="1"/>
  <c r="AX140" i="7"/>
  <c r="AX171" i="7"/>
  <c r="AX173" i="7"/>
  <c r="AX132" i="7"/>
  <c r="AX131" i="7"/>
  <c r="AX130" i="7"/>
  <c r="AV275" i="7" s="1"/>
  <c r="AX275" i="7" s="1"/>
  <c r="AX133" i="7"/>
  <c r="AX3" i="7"/>
  <c r="AV260" i="7" s="1"/>
  <c r="AX260" i="7" s="1"/>
  <c r="AX55" i="7"/>
  <c r="AX16" i="7"/>
  <c r="AV262" i="7" s="1"/>
  <c r="AX262" i="7" s="1"/>
  <c r="AX17" i="7"/>
  <c r="AX18" i="7"/>
  <c r="AX62" i="7"/>
  <c r="AX64" i="7"/>
  <c r="AX63" i="7"/>
  <c r="AX119" i="7"/>
  <c r="AX118" i="7"/>
  <c r="AX117" i="7"/>
  <c r="AV273" i="7" s="1"/>
  <c r="AX273" i="7" s="1"/>
  <c r="AX147" i="7"/>
  <c r="AX146" i="7"/>
  <c r="AX145" i="7"/>
  <c r="AX148" i="7"/>
  <c r="AX182" i="7"/>
  <c r="AX178" i="7"/>
  <c r="AX181" i="7"/>
  <c r="AX177" i="7"/>
  <c r="AX184" i="7"/>
  <c r="AX180" i="7"/>
  <c r="AX183" i="7"/>
  <c r="AX179" i="7"/>
  <c r="AX229" i="7"/>
  <c r="AX225" i="7"/>
  <c r="AX228" i="7"/>
  <c r="BD8" i="7" s="1"/>
  <c r="AX224" i="7"/>
  <c r="AX227" i="7"/>
  <c r="AX223" i="7"/>
  <c r="AX226" i="7"/>
  <c r="AX222" i="7"/>
  <c r="AV285" i="7" s="1"/>
  <c r="AX285" i="7" s="1"/>
  <c r="AX163" i="7"/>
  <c r="AX162" i="7"/>
  <c r="AV279" i="7" s="1"/>
  <c r="AX279" i="7" s="1"/>
  <c r="AX164" i="7"/>
  <c r="AX244" i="7"/>
  <c r="AX212" i="7"/>
  <c r="AV284" i="7" s="1"/>
  <c r="AX284" i="7" s="1"/>
  <c r="F34" i="7"/>
  <c r="E40" i="7"/>
  <c r="AX61" i="7"/>
  <c r="AV266" i="7" s="1"/>
  <c r="AX266" i="7" s="1"/>
  <c r="AX192" i="7" l="1"/>
  <c r="AX196" i="7"/>
  <c r="AX170" i="7"/>
  <c r="AX169" i="7"/>
  <c r="AV280" i="7" s="1"/>
  <c r="AX280" i="7" s="1"/>
  <c r="AX195" i="7"/>
  <c r="AX189" i="7"/>
  <c r="AX188" i="7"/>
  <c r="AV282" i="7" s="1"/>
  <c r="AX282" i="7" s="1"/>
  <c r="E42" i="7"/>
  <c r="E44" i="7"/>
  <c r="E41" i="7"/>
  <c r="E45" i="7"/>
  <c r="E46" i="7"/>
  <c r="E43" i="7"/>
  <c r="BD3" i="7"/>
  <c r="BE6" i="7"/>
  <c r="BL6" i="7"/>
  <c r="BC6" i="7"/>
  <c r="BE10" i="7"/>
  <c r="BL10" i="7"/>
  <c r="BC10" i="7"/>
  <c r="AX254" i="7"/>
  <c r="AX185" i="7"/>
  <c r="AV281" i="7"/>
  <c r="AX281" i="7" s="1"/>
  <c r="BC8" i="7"/>
  <c r="BL8" i="7"/>
  <c r="BE8" i="7"/>
  <c r="AV255" i="7"/>
  <c r="AX255" i="7" s="1"/>
  <c r="BE7" i="7"/>
  <c r="BL7" i="7"/>
  <c r="BC7" i="7"/>
  <c r="BD4" i="7"/>
  <c r="BL9" i="7"/>
  <c r="BC9" i="7"/>
  <c r="BE9" i="7"/>
  <c r="AV278" i="7"/>
  <c r="AX278" i="7" s="1"/>
  <c r="AX159" i="7"/>
  <c r="BL1" i="7"/>
  <c r="BC1" i="7"/>
  <c r="BE1" i="7"/>
  <c r="AV258" i="7"/>
  <c r="AX258" i="7" s="1"/>
  <c r="BD5" i="7"/>
  <c r="BD2" i="7"/>
  <c r="AV259" i="7"/>
  <c r="AX259" i="7" s="1"/>
  <c r="AV257" i="7"/>
  <c r="AX257" i="7" s="1"/>
  <c r="BN1" i="7" l="1"/>
  <c r="BM1" i="7"/>
  <c r="AX288" i="7"/>
  <c r="BM7" i="7"/>
  <c r="BN7" i="7"/>
  <c r="BN8" i="7"/>
  <c r="BM8" i="7"/>
  <c r="AV288" i="7"/>
  <c r="BM10" i="7"/>
  <c r="BN10" i="7"/>
  <c r="BE12" i="7"/>
  <c r="BN6" i="7"/>
  <c r="BM6" i="7"/>
  <c r="BE3" i="7"/>
  <c r="BL3" i="7"/>
  <c r="BC3" i="7"/>
  <c r="BL5" i="7"/>
  <c r="BC5" i="7"/>
  <c r="BE5" i="7"/>
  <c r="BL4" i="7"/>
  <c r="BC4" i="7"/>
  <c r="BE4" i="7"/>
  <c r="BC2" i="7"/>
  <c r="BE2" i="7"/>
  <c r="BL2" i="7"/>
  <c r="BM9" i="7"/>
  <c r="BN9" i="7"/>
  <c r="BN4" i="7" l="1"/>
  <c r="BM4" i="7"/>
  <c r="BN5" i="7"/>
  <c r="BM5" i="7"/>
  <c r="BN2" i="7"/>
  <c r="BM2" i="7"/>
  <c r="BM3" i="7"/>
  <c r="BN3" i="7"/>
  <c r="BD12" i="7"/>
  <c r="BC12" i="7"/>
  <c r="BJ5" i="7" s="1"/>
  <c r="BJ4" i="7" l="1"/>
  <c r="BJ3" i="7"/>
  <c r="BJ2" i="7"/>
  <c r="BL12" i="7"/>
  <c r="BK11" i="7"/>
  <c r="BK7" i="7"/>
  <c r="BK9" i="7"/>
  <c r="BK6" i="7"/>
  <c r="BK10" i="7"/>
  <c r="BK8" i="7"/>
  <c r="BK1" i="7"/>
  <c r="BK4" i="7"/>
  <c r="BK3" i="7"/>
  <c r="BK2" i="7"/>
  <c r="BK5" i="7"/>
  <c r="BJ11" i="7"/>
  <c r="BJ9" i="7"/>
  <c r="BJ7" i="7"/>
  <c r="BJ8" i="7"/>
  <c r="BJ10" i="7"/>
  <c r="BJ6" i="7"/>
  <c r="BJ1" i="7"/>
  <c r="BJ12" i="7" l="1"/>
  <c r="BK12" i="7"/>
  <c r="BN12" i="7"/>
  <c r="BM12" i="7"/>
  <c r="D320" i="4" l="1"/>
  <c r="D321" i="4"/>
  <c r="D322" i="4"/>
  <c r="D319" i="4"/>
  <c r="U21" i="3"/>
  <c r="U22" i="3" s="1"/>
  <c r="F24" i="3" s="1"/>
  <c r="B46" i="8" l="1"/>
  <c r="D323" i="4"/>
  <c r="T21" i="3"/>
  <c r="T22" i="3" s="1"/>
  <c r="S21" i="3"/>
  <c r="S22" i="3" s="1"/>
  <c r="R21" i="3"/>
  <c r="R22" i="3" s="1"/>
  <c r="Q21" i="3"/>
  <c r="Q22" i="3" s="1"/>
  <c r="P21" i="3"/>
  <c r="P22" i="3" s="1"/>
  <c r="O21" i="3"/>
  <c r="O22" i="3" s="1"/>
  <c r="N21" i="3"/>
  <c r="N22" i="3" s="1"/>
  <c r="M21" i="3"/>
  <c r="M22" i="3" s="1"/>
  <c r="L21" i="3"/>
  <c r="L22" i="3" s="1"/>
  <c r="K21" i="3"/>
  <c r="K22" i="3" s="1"/>
  <c r="F30" i="5" s="1"/>
  <c r="N30" i="5" s="1"/>
  <c r="P30" i="5" s="1"/>
  <c r="J21" i="3"/>
  <c r="J22" i="3" s="1"/>
  <c r="I21" i="3"/>
  <c r="I22" i="3" s="1"/>
  <c r="F7" i="5" s="1"/>
  <c r="H21" i="3"/>
  <c r="H22" i="3" s="1"/>
  <c r="G21" i="3"/>
  <c r="G22" i="3" s="1"/>
  <c r="F21" i="3"/>
  <c r="F22" i="3" s="1"/>
  <c r="E21" i="3"/>
  <c r="E22" i="3" s="1"/>
  <c r="D21" i="3"/>
  <c r="D22" i="3" s="1"/>
  <c r="C21" i="3"/>
  <c r="C22" i="3" s="1"/>
  <c r="B21" i="3"/>
  <c r="B22" i="3" s="1"/>
  <c r="N7" i="5" l="1"/>
  <c r="P7" i="5" s="1"/>
  <c r="F46" i="8"/>
  <c r="D46" i="8"/>
  <c r="F23" i="3"/>
  <c r="O30" i="5"/>
  <c r="G30" i="5"/>
  <c r="E30" i="5"/>
  <c r="F41" i="5"/>
  <c r="G7" i="5"/>
  <c r="E7" i="5"/>
  <c r="J62" i="2"/>
  <c r="J63" i="2" s="1"/>
  <c r="B273" i="4" s="1"/>
  <c r="I62" i="2"/>
  <c r="I63" i="2" s="1"/>
  <c r="B264" i="4" s="1"/>
  <c r="H62" i="2"/>
  <c r="H63" i="2" s="1"/>
  <c r="B257" i="4" s="1"/>
  <c r="G62" i="2"/>
  <c r="G63" i="2" s="1"/>
  <c r="B251" i="4" s="1"/>
  <c r="F62" i="2"/>
  <c r="F63" i="2" s="1"/>
  <c r="B245" i="4" s="1"/>
  <c r="E62" i="2"/>
  <c r="E63" i="2" s="1"/>
  <c r="B239" i="4" s="1"/>
  <c r="D62" i="2"/>
  <c r="D63" i="2" s="1"/>
  <c r="B234" i="4" s="1"/>
  <c r="C62" i="2"/>
  <c r="C63" i="2" s="1"/>
  <c r="B224" i="4" s="1"/>
  <c r="B62" i="2"/>
  <c r="B63" i="2" s="1"/>
  <c r="B217" i="4" s="1"/>
  <c r="A62" i="2"/>
  <c r="A63" i="2" s="1"/>
  <c r="B211" i="4" s="1"/>
  <c r="S41" i="2"/>
  <c r="S42" i="2" s="1"/>
  <c r="R41" i="2"/>
  <c r="R42" i="2" s="1"/>
  <c r="Q41" i="2"/>
  <c r="Q42" i="2" s="1"/>
  <c r="P41" i="2"/>
  <c r="P42" i="2" s="1"/>
  <c r="O41" i="2"/>
  <c r="O42" i="2" s="1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G41" i="2"/>
  <c r="G42" i="2" s="1"/>
  <c r="B194" i="4" s="1"/>
  <c r="F41" i="2"/>
  <c r="F42" i="2" s="1"/>
  <c r="B189" i="4" s="1"/>
  <c r="E41" i="2"/>
  <c r="E42" i="2" s="1"/>
  <c r="B181" i="4" s="1"/>
  <c r="D41" i="2"/>
  <c r="D42" i="2" s="1"/>
  <c r="B176" i="4" s="1"/>
  <c r="C41" i="2"/>
  <c r="C42" i="2" s="1"/>
  <c r="B167" i="4" s="1"/>
  <c r="G175" i="4" s="1"/>
  <c r="B41" i="2"/>
  <c r="B42" i="2" s="1"/>
  <c r="B159" i="4" s="1"/>
  <c r="A41" i="2"/>
  <c r="A42" i="2" s="1"/>
  <c r="B153" i="4" s="1"/>
  <c r="I20" i="2"/>
  <c r="I21" i="2" s="1"/>
  <c r="B55" i="4" s="1"/>
  <c r="H20" i="2"/>
  <c r="H21" i="2" s="1"/>
  <c r="B46" i="4" s="1"/>
  <c r="G20" i="2"/>
  <c r="G21" i="2" s="1"/>
  <c r="B39" i="4" s="1"/>
  <c r="F20" i="2"/>
  <c r="F21" i="2" s="1"/>
  <c r="B34" i="4" s="1"/>
  <c r="D38" i="4" s="1"/>
  <c r="E20" i="2"/>
  <c r="E21" i="2" s="1"/>
  <c r="B27" i="4" s="1"/>
  <c r="D20" i="2"/>
  <c r="D21" i="2" s="1"/>
  <c r="B20" i="4" s="1"/>
  <c r="C20" i="2"/>
  <c r="C21" i="2" s="1"/>
  <c r="B14" i="4" s="1"/>
  <c r="B20" i="2"/>
  <c r="B21" i="2" s="1"/>
  <c r="H41" i="2"/>
  <c r="H42" i="2" s="1"/>
  <c r="B199" i="4" s="1"/>
  <c r="O7" i="5" l="1"/>
  <c r="D36" i="4"/>
  <c r="D37" i="4"/>
  <c r="D35" i="4"/>
  <c r="B8" i="8" s="1"/>
  <c r="D192" i="4"/>
  <c r="F67" i="5" s="1"/>
  <c r="N67" i="5" s="1"/>
  <c r="P67" i="5" s="1"/>
  <c r="D191" i="4"/>
  <c r="D190" i="4"/>
  <c r="D187" i="4"/>
  <c r="D183" i="4"/>
  <c r="D186" i="4"/>
  <c r="D184" i="4"/>
  <c r="D185" i="4"/>
  <c r="D182" i="4"/>
  <c r="B26" i="8" s="1"/>
  <c r="D195" i="4"/>
  <c r="D197" i="4"/>
  <c r="D196" i="4"/>
  <c r="B29" i="8" s="1"/>
  <c r="B204" i="4"/>
  <c r="B6" i="4"/>
  <c r="D11" i="4" s="1"/>
  <c r="B44" i="8"/>
  <c r="I11" i="5"/>
  <c r="J11" i="5" s="1"/>
  <c r="N41" i="5"/>
  <c r="P41" i="5" s="1"/>
  <c r="B12" i="8"/>
  <c r="D316" i="4"/>
  <c r="D313" i="4"/>
  <c r="D312" i="4"/>
  <c r="D309" i="4"/>
  <c r="D310" i="4"/>
  <c r="D311" i="4"/>
  <c r="D314" i="4"/>
  <c r="F39" i="5" s="1"/>
  <c r="N39" i="5" s="1"/>
  <c r="P39" i="5" s="1"/>
  <c r="D315" i="4"/>
  <c r="D294" i="4"/>
  <c r="D297" i="4"/>
  <c r="F73" i="5" s="1"/>
  <c r="N73" i="5" s="1"/>
  <c r="P73" i="5" s="1"/>
  <c r="D296" i="4"/>
  <c r="D295" i="4"/>
  <c r="D262" i="4"/>
  <c r="F46" i="5" s="1"/>
  <c r="N46" i="5" s="1"/>
  <c r="P46" i="5" s="1"/>
  <c r="D259" i="4"/>
  <c r="D260" i="4"/>
  <c r="D261" i="4"/>
  <c r="D258" i="4"/>
  <c r="D255" i="4"/>
  <c r="D254" i="4"/>
  <c r="D252" i="4"/>
  <c r="D253" i="4"/>
  <c r="D243" i="4"/>
  <c r="F68" i="5" s="1"/>
  <c r="N68" i="5" s="1"/>
  <c r="D241" i="4"/>
  <c r="D242" i="4"/>
  <c r="F69" i="5" s="1"/>
  <c r="D240" i="4"/>
  <c r="D271" i="4"/>
  <c r="F66" i="5" s="1"/>
  <c r="D267" i="4"/>
  <c r="D270" i="4"/>
  <c r="D268" i="4"/>
  <c r="D269" i="4"/>
  <c r="F51" i="5" s="1"/>
  <c r="D265" i="4"/>
  <c r="D266" i="4"/>
  <c r="D274" i="4"/>
  <c r="D276" i="4"/>
  <c r="D275" i="4"/>
  <c r="D165" i="4"/>
  <c r="D162" i="4"/>
  <c r="F58" i="5" s="1"/>
  <c r="D164" i="4"/>
  <c r="F62" i="5" s="1"/>
  <c r="D160" i="4"/>
  <c r="D163" i="4"/>
  <c r="F56" i="5" s="1"/>
  <c r="G166" i="4"/>
  <c r="D161" i="4"/>
  <c r="D49" i="4"/>
  <c r="D50" i="4"/>
  <c r="G51" i="4"/>
  <c r="D48" i="4"/>
  <c r="D47" i="4"/>
  <c r="D56" i="4"/>
  <c r="D57" i="4"/>
  <c r="D58" i="4"/>
  <c r="D59" i="4"/>
  <c r="D103" i="4"/>
  <c r="D101" i="4"/>
  <c r="D102" i="4"/>
  <c r="D100" i="4"/>
  <c r="B17" i="8" s="1"/>
  <c r="D104" i="4"/>
  <c r="D99" i="4"/>
  <c r="B16" i="8" s="1"/>
  <c r="D8" i="4"/>
  <c r="E11" i="5"/>
  <c r="G11" i="5"/>
  <c r="G41" i="5"/>
  <c r="E41" i="5"/>
  <c r="L62" i="2"/>
  <c r="L63" i="2" s="1"/>
  <c r="B284" i="4" s="1"/>
  <c r="K62" i="2"/>
  <c r="K63" i="2" s="1"/>
  <c r="B278" i="4" s="1"/>
  <c r="F27" i="5" l="1"/>
  <c r="N27" i="5" s="1"/>
  <c r="P27" i="5" s="1"/>
  <c r="D10" i="4"/>
  <c r="F20" i="5" s="1"/>
  <c r="G20" i="5" s="1"/>
  <c r="D7" i="4"/>
  <c r="D12" i="4"/>
  <c r="F77" i="5" s="1"/>
  <c r="N77" i="5" s="1"/>
  <c r="P77" i="5" s="1"/>
  <c r="D9" i="4"/>
  <c r="N31" i="5" s="1"/>
  <c r="P31" i="5" s="1"/>
  <c r="N38" i="5"/>
  <c r="F25" i="5"/>
  <c r="N25" i="5" s="1"/>
  <c r="P25" i="5" s="1"/>
  <c r="F16" i="8"/>
  <c r="D16" i="8"/>
  <c r="N37" i="5"/>
  <c r="P37" i="5" s="1"/>
  <c r="N10" i="5"/>
  <c r="P10" i="5" s="1"/>
  <c r="F70" i="5"/>
  <c r="N70" i="5" s="1"/>
  <c r="P70" i="5" s="1"/>
  <c r="F17" i="8"/>
  <c r="D17" i="8"/>
  <c r="F16" i="5"/>
  <c r="N16" i="5" s="1"/>
  <c r="P16" i="5" s="1"/>
  <c r="F8" i="8"/>
  <c r="D8" i="8"/>
  <c r="O9" i="5"/>
  <c r="F29" i="8"/>
  <c r="D29" i="8"/>
  <c r="B27" i="8"/>
  <c r="D193" i="4"/>
  <c r="B28" i="8"/>
  <c r="D198" i="4"/>
  <c r="D26" i="8"/>
  <c r="F26" i="8"/>
  <c r="D188" i="4"/>
  <c r="F44" i="8"/>
  <c r="D44" i="8"/>
  <c r="F12" i="8"/>
  <c r="D12" i="8"/>
  <c r="D68" i="4"/>
  <c r="E69" i="5"/>
  <c r="G19" i="5"/>
  <c r="E19" i="5"/>
  <c r="G72" i="5"/>
  <c r="E72" i="5"/>
  <c r="E67" i="5"/>
  <c r="G67" i="5"/>
  <c r="G73" i="5"/>
  <c r="E73" i="5"/>
  <c r="B45" i="8"/>
  <c r="D317" i="4"/>
  <c r="B43" i="8"/>
  <c r="D298" i="4"/>
  <c r="B35" i="8"/>
  <c r="D244" i="4"/>
  <c r="B39" i="8"/>
  <c r="D272" i="4"/>
  <c r="B37" i="8"/>
  <c r="D256" i="4"/>
  <c r="G51" i="5"/>
  <c r="E51" i="5"/>
  <c r="G66" i="5"/>
  <c r="E66" i="5"/>
  <c r="D263" i="4"/>
  <c r="B38" i="8"/>
  <c r="D281" i="4"/>
  <c r="F63" i="5" s="1"/>
  <c r="D279" i="4"/>
  <c r="D282" i="4"/>
  <c r="D280" i="4"/>
  <c r="D287" i="4"/>
  <c r="F64" i="5" s="1"/>
  <c r="D285" i="4"/>
  <c r="D286" i="4"/>
  <c r="F53" i="5" s="1"/>
  <c r="N53" i="5" s="1"/>
  <c r="O53" i="5" s="1"/>
  <c r="D288" i="4"/>
  <c r="F65" i="5" s="1"/>
  <c r="D277" i="4"/>
  <c r="B40" i="8"/>
  <c r="O68" i="5"/>
  <c r="G68" i="5"/>
  <c r="E68" i="5"/>
  <c r="G46" i="5"/>
  <c r="E46" i="5"/>
  <c r="E62" i="5"/>
  <c r="G62" i="5"/>
  <c r="G58" i="5"/>
  <c r="E58" i="5"/>
  <c r="B23" i="8"/>
  <c r="D166" i="4"/>
  <c r="G56" i="5"/>
  <c r="E56" i="5"/>
  <c r="B4" i="8"/>
  <c r="B10" i="8"/>
  <c r="D51" i="4"/>
  <c r="G9" i="5"/>
  <c r="D105" i="4"/>
  <c r="O50" i="5"/>
  <c r="G50" i="5"/>
  <c r="E50" i="5"/>
  <c r="B11" i="8"/>
  <c r="D60" i="4"/>
  <c r="O11" i="5"/>
  <c r="O41" i="5"/>
  <c r="N20" i="5" l="1"/>
  <c r="O20" i="5" s="1"/>
  <c r="E20" i="5"/>
  <c r="D13" i="4"/>
  <c r="N15" i="5"/>
  <c r="P15" i="5" s="1"/>
  <c r="E9" i="5"/>
  <c r="F28" i="8"/>
  <c r="D28" i="8"/>
  <c r="D27" i="8"/>
  <c r="F27" i="8"/>
  <c r="I39" i="5"/>
  <c r="J39" i="5" s="1"/>
  <c r="E70" i="5"/>
  <c r="I10" i="5"/>
  <c r="J10" i="5" s="1"/>
  <c r="O10" i="5"/>
  <c r="G10" i="5"/>
  <c r="G39" i="5"/>
  <c r="G69" i="5"/>
  <c r="E39" i="5"/>
  <c r="E27" i="5"/>
  <c r="G27" i="5"/>
  <c r="E10" i="5"/>
  <c r="I25" i="5"/>
  <c r="J25" i="5" s="1"/>
  <c r="E25" i="5"/>
  <c r="G25" i="5"/>
  <c r="O25" i="5"/>
  <c r="G70" i="5"/>
  <c r="I15" i="5"/>
  <c r="J15" i="5" s="1"/>
  <c r="E15" i="5"/>
  <c r="O67" i="5"/>
  <c r="I37" i="5"/>
  <c r="J37" i="5" s="1"/>
  <c r="E37" i="5"/>
  <c r="G37" i="5"/>
  <c r="O19" i="5"/>
  <c r="F45" i="8"/>
  <c r="D45" i="8"/>
  <c r="F43" i="8"/>
  <c r="D43" i="8"/>
  <c r="I16" i="5"/>
  <c r="J16" i="5" s="1"/>
  <c r="E16" i="5"/>
  <c r="G16" i="5"/>
  <c r="O73" i="5"/>
  <c r="I38" i="5"/>
  <c r="E38" i="5"/>
  <c r="G38" i="5"/>
  <c r="D35" i="8"/>
  <c r="F35" i="8"/>
  <c r="G53" i="5"/>
  <c r="E53" i="5"/>
  <c r="G63" i="5"/>
  <c r="E63" i="5"/>
  <c r="F38" i="8"/>
  <c r="D38" i="8"/>
  <c r="F37" i="8"/>
  <c r="D37" i="8"/>
  <c r="D39" i="8"/>
  <c r="F39" i="8"/>
  <c r="E65" i="5"/>
  <c r="G65" i="5"/>
  <c r="B41" i="8"/>
  <c r="D283" i="4"/>
  <c r="O46" i="5"/>
  <c r="F40" i="8"/>
  <c r="D40" i="8"/>
  <c r="B42" i="8"/>
  <c r="D289" i="4"/>
  <c r="E64" i="5"/>
  <c r="G64" i="5"/>
  <c r="O56" i="5"/>
  <c r="O62" i="5"/>
  <c r="O58" i="5"/>
  <c r="D23" i="8"/>
  <c r="F23" i="8"/>
  <c r="O27" i="5"/>
  <c r="I31" i="5"/>
  <c r="J31" i="5" s="1"/>
  <c r="E31" i="5"/>
  <c r="G31" i="5"/>
  <c r="O39" i="5"/>
  <c r="D10" i="8"/>
  <c r="F10" i="8"/>
  <c r="D122" i="4"/>
  <c r="F32" i="5" s="1"/>
  <c r="N32" i="5" s="1"/>
  <c r="P32" i="5" s="1"/>
  <c r="D118" i="4"/>
  <c r="B18" i="8" s="1"/>
  <c r="D120" i="4"/>
  <c r="D126" i="4"/>
  <c r="F44" i="5" s="1"/>
  <c r="N44" i="5" s="1"/>
  <c r="P44" i="5" s="1"/>
  <c r="D119" i="4"/>
  <c r="F34" i="5" s="1"/>
  <c r="N34" i="5" s="1"/>
  <c r="P34" i="5" s="1"/>
  <c r="D124" i="4"/>
  <c r="D125" i="4"/>
  <c r="F71" i="5" s="1"/>
  <c r="N71" i="5" s="1"/>
  <c r="P71" i="5" s="1"/>
  <c r="D123" i="4"/>
  <c r="D121" i="4"/>
  <c r="F45" i="5" s="1"/>
  <c r="N45" i="5" s="1"/>
  <c r="P45" i="5" s="1"/>
  <c r="F11" i="8"/>
  <c r="D11" i="8"/>
  <c r="E77" i="5"/>
  <c r="G77" i="5"/>
  <c r="F4" i="8"/>
  <c r="D4" i="8"/>
  <c r="N24" i="5" l="1"/>
  <c r="P24" i="5" s="1"/>
  <c r="N26" i="5"/>
  <c r="P26" i="5" s="1"/>
  <c r="F18" i="8"/>
  <c r="D18" i="8"/>
  <c r="G15" i="5"/>
  <c r="O70" i="5"/>
  <c r="O15" i="5"/>
  <c r="O37" i="5"/>
  <c r="O16" i="5"/>
  <c r="F42" i="8"/>
  <c r="D42" i="8"/>
  <c r="F41" i="8"/>
  <c r="D41" i="8"/>
  <c r="O38" i="5"/>
  <c r="O71" i="5"/>
  <c r="G71" i="5"/>
  <c r="E71" i="5"/>
  <c r="E44" i="5"/>
  <c r="G44" i="5"/>
  <c r="D127" i="4"/>
  <c r="O77" i="5"/>
  <c r="E45" i="5"/>
  <c r="G45" i="5"/>
  <c r="G34" i="5"/>
  <c r="E34" i="5"/>
  <c r="E32" i="5"/>
  <c r="G32" i="5"/>
  <c r="O31" i="5"/>
  <c r="I26" i="5" l="1"/>
  <c r="J26" i="5" s="1"/>
  <c r="E24" i="5"/>
  <c r="G26" i="5"/>
  <c r="E26" i="5"/>
  <c r="I24" i="5"/>
  <c r="J24" i="5" s="1"/>
  <c r="G24" i="5"/>
  <c r="O34" i="5"/>
  <c r="O32" i="5"/>
  <c r="O26" i="5"/>
  <c r="O45" i="5"/>
  <c r="O44" i="5"/>
  <c r="O24" i="5"/>
  <c r="D96" i="4"/>
  <c r="D91" i="4"/>
  <c r="D93" i="4"/>
  <c r="N12" i="5" s="1"/>
  <c r="P12" i="5" s="1"/>
  <c r="D95" i="4"/>
  <c r="D92" i="4"/>
  <c r="F8" i="5" s="1"/>
  <c r="N8" i="5" s="1"/>
  <c r="P8" i="5" s="1"/>
  <c r="D94" i="4"/>
  <c r="F54" i="5" s="1"/>
  <c r="D90" i="4"/>
  <c r="N17" i="5" l="1"/>
  <c r="P17" i="5" s="1"/>
  <c r="N60" i="5"/>
  <c r="P60" i="5" s="1"/>
  <c r="G18" i="5"/>
  <c r="N43" i="5"/>
  <c r="P43" i="5" s="1"/>
  <c r="F61" i="5"/>
  <c r="N61" i="5" s="1"/>
  <c r="P61" i="5" s="1"/>
  <c r="D89" i="4"/>
  <c r="B15" i="8" s="1"/>
  <c r="B48" i="8" s="1"/>
  <c r="I8" i="5"/>
  <c r="J8" i="5" s="1"/>
  <c r="F13" i="5"/>
  <c r="G8" i="5"/>
  <c r="E8" i="5"/>
  <c r="E12" i="5"/>
  <c r="G12" i="5"/>
  <c r="I12" i="5"/>
  <c r="J12" i="5" s="1"/>
  <c r="E43" i="5"/>
  <c r="E54" i="5" s="1"/>
  <c r="I17" i="5" l="1"/>
  <c r="J17" i="5" s="1"/>
  <c r="N18" i="5"/>
  <c r="P18" i="5" s="1"/>
  <c r="E17" i="5"/>
  <c r="G17" i="5"/>
  <c r="E61" i="5"/>
  <c r="G61" i="5"/>
  <c r="O61" i="5"/>
  <c r="F15" i="8"/>
  <c r="F48" i="8" s="1"/>
  <c r="D15" i="8"/>
  <c r="D48" i="8" s="1"/>
  <c r="G43" i="5"/>
  <c r="G54" i="5" s="1"/>
  <c r="E18" i="5"/>
  <c r="O60" i="5"/>
  <c r="G60" i="5"/>
  <c r="E60" i="5"/>
  <c r="E13" i="5"/>
  <c r="O17" i="5"/>
  <c r="O43" i="5"/>
  <c r="O12" i="5"/>
  <c r="F78" i="5"/>
  <c r="O8" i="5"/>
  <c r="N13" i="5"/>
  <c r="M74" i="5" l="1"/>
  <c r="M75" i="5"/>
  <c r="N78" i="5"/>
  <c r="P78" i="5" s="1"/>
  <c r="O18" i="5"/>
  <c r="G78" i="5"/>
  <c r="M60" i="5"/>
  <c r="M76" i="5"/>
  <c r="M65" i="5"/>
  <c r="M16" i="5"/>
  <c r="M68" i="5"/>
  <c r="M58" i="5"/>
  <c r="M10" i="5"/>
  <c r="M45" i="5"/>
  <c r="M20" i="5"/>
  <c r="M67" i="5"/>
  <c r="M24" i="5"/>
  <c r="M44" i="5"/>
  <c r="M33" i="5"/>
  <c r="M72" i="5"/>
  <c r="M31" i="5"/>
  <c r="M49" i="5"/>
  <c r="M32" i="5"/>
  <c r="M63" i="5"/>
  <c r="M9" i="5"/>
  <c r="M69" i="5"/>
  <c r="M47" i="5"/>
  <c r="M25" i="5"/>
  <c r="M48" i="5"/>
  <c r="M27" i="5"/>
  <c r="M56" i="5"/>
  <c r="M57" i="5"/>
  <c r="M26" i="5"/>
  <c r="M15" i="5"/>
  <c r="M38" i="5"/>
  <c r="M62" i="5"/>
  <c r="M39" i="5"/>
  <c r="M64" i="5"/>
  <c r="M37" i="5"/>
  <c r="M41" i="5"/>
  <c r="M51" i="5"/>
  <c r="M30" i="5"/>
  <c r="M46" i="5"/>
  <c r="M40" i="5"/>
  <c r="M42" i="5"/>
  <c r="M34" i="5"/>
  <c r="M11" i="5"/>
  <c r="M59" i="5"/>
  <c r="M19" i="5"/>
  <c r="M7" i="5"/>
  <c r="M71" i="5"/>
  <c r="M70" i="5"/>
  <c r="M77" i="5"/>
  <c r="M21" i="5"/>
  <c r="M66" i="5"/>
  <c r="M50" i="5"/>
  <c r="M73" i="5"/>
  <c r="M53" i="5"/>
  <c r="M52" i="5"/>
  <c r="M17" i="5"/>
  <c r="M61" i="5"/>
  <c r="M12" i="5"/>
  <c r="M18" i="5"/>
  <c r="M43" i="5"/>
  <c r="M8" i="5"/>
  <c r="M13" i="5"/>
  <c r="O13" i="5"/>
  <c r="E78" i="5"/>
  <c r="L74" i="5" l="1"/>
  <c r="L75" i="5"/>
  <c r="O78" i="5"/>
  <c r="L60" i="5"/>
  <c r="L76" i="5"/>
  <c r="M78" i="5"/>
  <c r="L34" i="5"/>
  <c r="L21" i="5"/>
  <c r="L26" i="5"/>
  <c r="L67" i="5"/>
  <c r="L51" i="5"/>
  <c r="L45" i="5"/>
  <c r="L15" i="5"/>
  <c r="L69" i="5"/>
  <c r="L41" i="5"/>
  <c r="L42" i="5"/>
  <c r="L65" i="5"/>
  <c r="L57" i="5"/>
  <c r="L62" i="5"/>
  <c r="L52" i="5"/>
  <c r="L9" i="5"/>
  <c r="L10" i="5"/>
  <c r="L63" i="5"/>
  <c r="L49" i="5"/>
  <c r="L59" i="5"/>
  <c r="L66" i="5"/>
  <c r="L56" i="5"/>
  <c r="L70" i="5"/>
  <c r="L48" i="5"/>
  <c r="L20" i="5"/>
  <c r="L58" i="5"/>
  <c r="L37" i="5"/>
  <c r="L16" i="5"/>
  <c r="L31" i="5"/>
  <c r="L7" i="5"/>
  <c r="L32" i="5"/>
  <c r="L24" i="5"/>
  <c r="L77" i="5"/>
  <c r="L30" i="5"/>
  <c r="L19" i="5"/>
  <c r="L72" i="5"/>
  <c r="L33" i="5"/>
  <c r="L11" i="5"/>
  <c r="L44" i="5"/>
  <c r="L68" i="5"/>
  <c r="L50" i="5"/>
  <c r="L38" i="5"/>
  <c r="L39" i="5"/>
  <c r="L40" i="5"/>
  <c r="L47" i="5"/>
  <c r="L27" i="5"/>
  <c r="L46" i="5"/>
  <c r="L64" i="5"/>
  <c r="L71" i="5"/>
  <c r="L73" i="5"/>
  <c r="L53" i="5"/>
  <c r="L25" i="5"/>
  <c r="L17" i="5"/>
  <c r="L8" i="5"/>
  <c r="L12" i="5"/>
  <c r="L43" i="5"/>
  <c r="L18" i="5"/>
  <c r="L61" i="5"/>
  <c r="L13" i="5"/>
  <c r="L78" i="5" l="1"/>
  <c r="F16" i="7"/>
  <c r="F10" i="7"/>
  <c r="F11" i="7"/>
  <c r="F14" i="7"/>
  <c r="F15" i="7"/>
  <c r="F13" i="7"/>
  <c r="F12" i="7"/>
  <c r="F9" i="7"/>
  <c r="F7" i="7"/>
  <c r="F8" i="7"/>
  <c r="F17" i="7"/>
  <c r="D18" i="7"/>
  <c r="C18" i="7"/>
  <c r="E18" i="7"/>
  <c r="F18" i="7"/>
  <c r="B18" i="7"/>
</calcChain>
</file>

<file path=xl/sharedStrings.xml><?xml version="1.0" encoding="utf-8"?>
<sst xmlns="http://schemas.openxmlformats.org/spreadsheetml/2006/main" count="2294" uniqueCount="625">
  <si>
    <t>CALCULATION OF SOLVENTS IN PAINT</t>
  </si>
  <si>
    <t xml:space="preserve">ANNUAL </t>
  </si>
  <si>
    <t>QUANTITY</t>
  </si>
  <si>
    <t>SPECIFIC</t>
  </si>
  <si>
    <t>%USED AS</t>
  </si>
  <si>
    <t>% CONTAINED</t>
  </si>
  <si>
    <t>%</t>
  </si>
  <si>
    <t xml:space="preserve">   % Total Usage</t>
  </si>
  <si>
    <t>SOLVENT NAME</t>
  </si>
  <si>
    <t>CAS</t>
  </si>
  <si>
    <t>LITRES</t>
  </si>
  <si>
    <t>KG.</t>
  </si>
  <si>
    <t>TONNES</t>
  </si>
  <si>
    <t>GRAVITY</t>
  </si>
  <si>
    <t>THINNER</t>
  </si>
  <si>
    <t>IN PAINT</t>
  </si>
  <si>
    <t>RECYCLED</t>
  </si>
  <si>
    <t>Litres</t>
  </si>
  <si>
    <t>Kg</t>
  </si>
  <si>
    <t>Aliphatic Hydrocarbons</t>
  </si>
  <si>
    <t>67-64-1</t>
  </si>
  <si>
    <t>108-10-1</t>
  </si>
  <si>
    <t>34590-94-8</t>
  </si>
  <si>
    <t>108-65-6</t>
  </si>
  <si>
    <t>107-98-2</t>
  </si>
  <si>
    <t>64742-95-6</t>
  </si>
  <si>
    <t>142-82-5</t>
  </si>
  <si>
    <t>71-36-3</t>
  </si>
  <si>
    <t>67-56-1</t>
  </si>
  <si>
    <t>1330-20-7</t>
  </si>
  <si>
    <t>8052-41-3</t>
  </si>
  <si>
    <t>108-88-3</t>
  </si>
  <si>
    <t>64742-49-0</t>
  </si>
  <si>
    <t>64742-89-8</t>
  </si>
  <si>
    <t>78-93-3</t>
  </si>
  <si>
    <t>110-43-0</t>
  </si>
  <si>
    <t>123-86-4</t>
  </si>
  <si>
    <t>SCHWARTZ</t>
  </si>
  <si>
    <t>Volume</t>
  </si>
  <si>
    <t>Density/S.G.</t>
  </si>
  <si>
    <t xml:space="preserve">  Heptane</t>
  </si>
  <si>
    <t>ACETONE</t>
  </si>
  <si>
    <t>MIBK</t>
  </si>
  <si>
    <t>GLYCOL ETHER DPM</t>
  </si>
  <si>
    <t>GEPMA</t>
  </si>
  <si>
    <t>GEPM</t>
  </si>
  <si>
    <t>HEPTANE</t>
  </si>
  <si>
    <t>n'BUTYL ALCOHOL</t>
  </si>
  <si>
    <t>METHANOL</t>
  </si>
  <si>
    <t>XYLENE</t>
  </si>
  <si>
    <t>MINERAL SPIRITS</t>
  </si>
  <si>
    <t>TOLUENE</t>
  </si>
  <si>
    <t>VM&amp;P</t>
  </si>
  <si>
    <t>2024 NAPTHA</t>
  </si>
  <si>
    <t>MEK</t>
  </si>
  <si>
    <t>MAK</t>
  </si>
  <si>
    <t>n'BUTYL ACETATE</t>
  </si>
  <si>
    <t>litres</t>
  </si>
  <si>
    <t>kg/l</t>
  </si>
  <si>
    <t>BY VOL.</t>
  </si>
  <si>
    <t xml:space="preserve">  Mineral Spirits</t>
  </si>
  <si>
    <t>MS</t>
  </si>
  <si>
    <t>Solids</t>
  </si>
  <si>
    <t>n/a</t>
  </si>
  <si>
    <t>kg.</t>
  </si>
  <si>
    <t>8032-32-4</t>
  </si>
  <si>
    <t>THINNERS</t>
  </si>
  <si>
    <t>COMET</t>
  </si>
  <si>
    <t>Methanol</t>
  </si>
  <si>
    <t>64742-48-9</t>
  </si>
  <si>
    <t>Acetone</t>
  </si>
  <si>
    <t>Comsol 100</t>
  </si>
  <si>
    <t>Heptane</t>
  </si>
  <si>
    <t>n'Butyl Al.</t>
  </si>
  <si>
    <t>Xylene</t>
  </si>
  <si>
    <t>Min. Spir.</t>
  </si>
  <si>
    <t>Toluene</t>
  </si>
  <si>
    <t>Comsol D90</t>
  </si>
  <si>
    <t>Kg Per Drum</t>
  </si>
  <si>
    <t>Total</t>
  </si>
  <si>
    <t>JAN</t>
  </si>
  <si>
    <t>FEB</t>
  </si>
  <si>
    <t>MAR</t>
  </si>
  <si>
    <t xml:space="preserve">      Total Mineral Spirits</t>
  </si>
  <si>
    <t>APR</t>
  </si>
  <si>
    <t>Aromatic Hydrocarbons</t>
  </si>
  <si>
    <t>MAY</t>
  </si>
  <si>
    <t xml:space="preserve">  Toluene</t>
  </si>
  <si>
    <t>JUN</t>
  </si>
  <si>
    <t>JUL</t>
  </si>
  <si>
    <t xml:space="preserve">  Xylene</t>
  </si>
  <si>
    <t>AUG</t>
  </si>
  <si>
    <t>33C36</t>
  </si>
  <si>
    <t xml:space="preserve">  Ethyl Benzine</t>
  </si>
  <si>
    <t>100-41-4</t>
  </si>
  <si>
    <t>SEP</t>
  </si>
  <si>
    <t xml:space="preserve">  Trimethylbenzene 1,2,4</t>
  </si>
  <si>
    <t>95-63-6</t>
  </si>
  <si>
    <t>OCT</t>
  </si>
  <si>
    <t>Ethyl Benzene</t>
  </si>
  <si>
    <t>NOV</t>
  </si>
  <si>
    <t>n'Butyl Alcohol</t>
  </si>
  <si>
    <t xml:space="preserve">  Solvent Naptha, Aromatic distillate</t>
  </si>
  <si>
    <t>64742-94-5</t>
  </si>
  <si>
    <t>DEC</t>
  </si>
  <si>
    <t>VM&amp;P Naptha</t>
  </si>
  <si>
    <t>Keytones</t>
  </si>
  <si>
    <t>KG</t>
  </si>
  <si>
    <t>Formaldehyde</t>
  </si>
  <si>
    <t xml:space="preserve">  Acetone</t>
  </si>
  <si>
    <t xml:space="preserve">  M.I.B.K.</t>
  </si>
  <si>
    <t xml:space="preserve">  M.E.K.</t>
  </si>
  <si>
    <t xml:space="preserve">  M. A. K.</t>
  </si>
  <si>
    <t>kg</t>
  </si>
  <si>
    <t>Polyethylene Glycol</t>
  </si>
  <si>
    <t>104810-47-1</t>
  </si>
  <si>
    <t>Alcohols</t>
  </si>
  <si>
    <t>PAINT</t>
  </si>
  <si>
    <t>JEMA</t>
  </si>
  <si>
    <t>COLOR COATINGS</t>
  </si>
  <si>
    <t>SHERWIN WILLIAMS</t>
  </si>
  <si>
    <t>KGP</t>
  </si>
  <si>
    <t>FERGUSON</t>
  </si>
  <si>
    <t>GOUDEY</t>
  </si>
  <si>
    <t>104810-48-2</t>
  </si>
  <si>
    <t xml:space="preserve">  Methanol</t>
  </si>
  <si>
    <t>MANUFACTURER</t>
  </si>
  <si>
    <t>SW</t>
  </si>
  <si>
    <t>white</t>
  </si>
  <si>
    <t>red</t>
  </si>
  <si>
    <t>pearl</t>
  </si>
  <si>
    <t>black</t>
  </si>
  <si>
    <t>beige</t>
  </si>
  <si>
    <t>blue</t>
  </si>
  <si>
    <t xml:space="preserve">  n'Butyl Alcohol</t>
  </si>
  <si>
    <t>PRODUCT NO.</t>
  </si>
  <si>
    <t>D235 Black</t>
  </si>
  <si>
    <t>33W5 White</t>
  </si>
  <si>
    <t>D138 White (A)</t>
  </si>
  <si>
    <t>D163 White</t>
  </si>
  <si>
    <t>AB-35</t>
  </si>
  <si>
    <t>3001-1</t>
  </si>
  <si>
    <t>6105-2</t>
  </si>
  <si>
    <t>H60WXA6055</t>
  </si>
  <si>
    <t>B7Q-80842</t>
  </si>
  <si>
    <t>B7Y-80843</t>
  </si>
  <si>
    <t>B7S-65612</t>
  </si>
  <si>
    <t>FC740-2</t>
  </si>
  <si>
    <t>FH742</t>
  </si>
  <si>
    <t>RHF75</t>
  </si>
  <si>
    <t>Patio</t>
  </si>
  <si>
    <t>METALLUX</t>
  </si>
  <si>
    <t>PSCW-20L</t>
  </si>
  <si>
    <t>Pigment</t>
  </si>
  <si>
    <t>Pigmnt</t>
  </si>
  <si>
    <t>Pgmnt</t>
  </si>
  <si>
    <t>Pgment (M)</t>
  </si>
  <si>
    <t>Urethane BC</t>
  </si>
  <si>
    <t>Slip</t>
  </si>
  <si>
    <t>Acrylic</t>
  </si>
  <si>
    <t>TC</t>
  </si>
  <si>
    <t>Mirror Back</t>
  </si>
  <si>
    <t>Base</t>
  </si>
  <si>
    <t>Pearl</t>
  </si>
  <si>
    <t>Clearcoat</t>
  </si>
  <si>
    <t>Hardener</t>
  </si>
  <si>
    <t>Stabilizer</t>
  </si>
  <si>
    <t>Reducer</t>
  </si>
  <si>
    <t>4U</t>
  </si>
  <si>
    <t>Strippable</t>
  </si>
  <si>
    <t>D235 BLACK PIGMENT</t>
  </si>
  <si>
    <t>123-42-2</t>
  </si>
  <si>
    <t xml:space="preserve">  Ethyl Alcohol</t>
  </si>
  <si>
    <t>64-17-5</t>
  </si>
  <si>
    <t>DGEPMA</t>
  </si>
  <si>
    <t>88917-22-0</t>
  </si>
  <si>
    <t>Napthalene</t>
  </si>
  <si>
    <t>91-20-3</t>
  </si>
  <si>
    <t>Glycol Ethers/Ester Acetates</t>
  </si>
  <si>
    <t>Aromatic Pet. Distillate</t>
  </si>
  <si>
    <t xml:space="preserve">  nButyl Acetate</t>
  </si>
  <si>
    <t xml:space="preserve">  Glycol Ether PM Acetate</t>
  </si>
  <si>
    <t xml:space="preserve">  Dipropylene Glycol Methyl Ether</t>
  </si>
  <si>
    <t xml:space="preserve">  Polyethylene Glycol</t>
  </si>
  <si>
    <t xml:space="preserve">  Diethylene Glycol Monomethyl Ether</t>
  </si>
  <si>
    <t>111-77-3</t>
  </si>
  <si>
    <t xml:space="preserve">  Propylene Glycol Monomethyl Ether</t>
  </si>
  <si>
    <t xml:space="preserve">  Dipropylene Glycol Methy Ether Acetate</t>
  </si>
  <si>
    <t xml:space="preserve">  2-Butoexethanol</t>
  </si>
  <si>
    <t>111-76-2</t>
  </si>
  <si>
    <t xml:space="preserve">  Isobutyl Acetate</t>
  </si>
  <si>
    <t>110-19-0</t>
  </si>
  <si>
    <t>TOTAL UNITS</t>
  </si>
  <si>
    <t xml:space="preserve">  Primy Amyl Acetate</t>
  </si>
  <si>
    <t>628-63-7</t>
  </si>
  <si>
    <t>TOTAL LITRES</t>
  </si>
  <si>
    <t>D138 WHITE PIGMENT</t>
  </si>
  <si>
    <t xml:space="preserve">  Ethyl 3-Ethoxyproprionate</t>
  </si>
  <si>
    <t>763-69-9</t>
  </si>
  <si>
    <t>112-07-2</t>
  </si>
  <si>
    <t>D163  WHITE PIGMENT</t>
  </si>
  <si>
    <t>Other</t>
  </si>
  <si>
    <t>OMS</t>
  </si>
  <si>
    <t xml:space="preserve">  Hexamethylene Disocyanate Polymer</t>
  </si>
  <si>
    <t>28182-81-2</t>
  </si>
  <si>
    <t>Methyl Carbitol (DGME)</t>
  </si>
  <si>
    <t xml:space="preserve">  p-Chlorobenzotrifluoride</t>
  </si>
  <si>
    <t>98-56-6</t>
  </si>
  <si>
    <t xml:space="preserve">  Propane</t>
  </si>
  <si>
    <t>74-98-6</t>
  </si>
  <si>
    <t xml:space="preserve">  Isobutane</t>
  </si>
  <si>
    <t>75-28-5</t>
  </si>
  <si>
    <t>BY WT.</t>
  </si>
  <si>
    <t xml:space="preserve">  Formaldehyde</t>
  </si>
  <si>
    <t>50-00-0</t>
  </si>
  <si>
    <t>TOTAL</t>
  </si>
  <si>
    <t>YEAR</t>
  </si>
  <si>
    <t>Mineral Spirits</t>
  </si>
  <si>
    <t>2-Butoxyethanol</t>
  </si>
  <si>
    <t>Xylol</t>
  </si>
  <si>
    <t>Isobutyl Acetate</t>
  </si>
  <si>
    <t>Glycol Ether EB</t>
  </si>
  <si>
    <t>Primy Amyl Acetate</t>
  </si>
  <si>
    <t>n'butyl alcohol</t>
  </si>
  <si>
    <t>CC-6105 SLIP-2</t>
  </si>
  <si>
    <t>Ethanol</t>
  </si>
  <si>
    <t>Diacetone Alcohol</t>
  </si>
  <si>
    <t>H60WXA6055 MIRROR B/U</t>
  </si>
  <si>
    <t>ULTRA 7000 BASE/PEARL</t>
  </si>
  <si>
    <t>Ethylbenzene</t>
  </si>
  <si>
    <t>n-Butyl Acetate</t>
  </si>
  <si>
    <t>FC740-2 CLEARCOAT</t>
  </si>
  <si>
    <t>Non-solvent</t>
  </si>
  <si>
    <t>p-Chlorobenzotrifluoride</t>
  </si>
  <si>
    <t>FH742 HARDENER</t>
  </si>
  <si>
    <t>2-Butoxyethyl Acetate</t>
  </si>
  <si>
    <t>Hexamethylene Diisocyanate Polymer</t>
  </si>
  <si>
    <t>RHF75 STABILIZER</t>
  </si>
  <si>
    <t>Non-Solvent</t>
  </si>
  <si>
    <t>Eyhyl Benzene</t>
  </si>
  <si>
    <t>Isophorone Diisocyanate Polymer</t>
  </si>
  <si>
    <t>Solvesso 100</t>
  </si>
  <si>
    <t>Hexamethylene Disocyanate Polymer</t>
  </si>
  <si>
    <t>1-Methoxy-2-propanol acetate</t>
  </si>
  <si>
    <t>Muntispec 1U-XXX</t>
  </si>
  <si>
    <t>Aliphatic Petroleum Naptha</t>
  </si>
  <si>
    <t>Glycol ether EB</t>
  </si>
  <si>
    <t>Isobutane</t>
  </si>
  <si>
    <t>Propane</t>
  </si>
  <si>
    <t>PGMEA</t>
  </si>
  <si>
    <t>PATIO</t>
  </si>
  <si>
    <t>P.G.M.E.A.</t>
  </si>
  <si>
    <t>M.E.K.</t>
  </si>
  <si>
    <t>METALLUX 2156</t>
  </si>
  <si>
    <t>Aliphatic Solvent</t>
  </si>
  <si>
    <t>Oleic Acid</t>
  </si>
  <si>
    <t>112-80-0</t>
  </si>
  <si>
    <t>DGME</t>
  </si>
  <si>
    <t>ODURLESS MINERAL SPIRITS</t>
  </si>
  <si>
    <t>46C46</t>
  </si>
  <si>
    <t>Flatting Base</t>
  </si>
  <si>
    <t>Qt</t>
  </si>
  <si>
    <t>3115-1</t>
  </si>
  <si>
    <t>PPG</t>
  </si>
  <si>
    <t>Catalyst</t>
  </si>
  <si>
    <t>Comsol D115/145</t>
  </si>
  <si>
    <t>UH900</t>
  </si>
  <si>
    <t>Matte Clear</t>
  </si>
  <si>
    <t>COMSOL 100</t>
  </si>
  <si>
    <t>2.1 VOC MATTE CLEAR</t>
  </si>
  <si>
    <t>46C46 FLATTING BASE</t>
  </si>
  <si>
    <t>UH 900 HARDENER</t>
  </si>
  <si>
    <t>p-Chlorbenzotrifluoride</t>
  </si>
  <si>
    <t>E55 REDUCER</t>
  </si>
  <si>
    <t>Menthyl n'Amyl ketone</t>
  </si>
  <si>
    <t>Ethyl 3-Ethoxypropionate</t>
  </si>
  <si>
    <t xml:space="preserve">kg </t>
  </si>
  <si>
    <t>Hexamethylene diisocyanate</t>
  </si>
  <si>
    <t>822-06-0</t>
  </si>
  <si>
    <t>3779-63-3</t>
  </si>
  <si>
    <t>ES55</t>
  </si>
  <si>
    <t>7631-86-9</t>
  </si>
  <si>
    <t>Silcon dioxide</t>
  </si>
  <si>
    <t>2-methoxy-1-methyethyl acetate</t>
  </si>
  <si>
    <t>123-54-6</t>
  </si>
  <si>
    <t>Pentane-2,4-dione</t>
  </si>
  <si>
    <t>n-butyl acetate</t>
  </si>
  <si>
    <t>80-82-6</t>
  </si>
  <si>
    <t>BLACK HS URETHANE</t>
  </si>
  <si>
    <t>URETHANE HARDENER</t>
  </si>
  <si>
    <t>Hexamethylene diisocyanate polymer</t>
  </si>
  <si>
    <t>Solvent naptha, light aromatic</t>
  </si>
  <si>
    <t>1,2,4-trimethylbenzene</t>
  </si>
  <si>
    <t>Cumene</t>
  </si>
  <si>
    <t>98-82-8</t>
  </si>
  <si>
    <t xml:space="preserve">  Napthalene</t>
  </si>
  <si>
    <t xml:space="preserve">  Hexamethylene diisocyanate</t>
  </si>
  <si>
    <t xml:space="preserve">  Methyl methacrylate</t>
  </si>
  <si>
    <t xml:space="preserve">  Pentane-2,4-dione</t>
  </si>
  <si>
    <t xml:space="preserve">  Cumene</t>
  </si>
  <si>
    <t xml:space="preserve">  Oleic Acid</t>
  </si>
  <si>
    <t>Methyl methacrylate</t>
  </si>
  <si>
    <t>n-Butyl acetate</t>
  </si>
  <si>
    <t xml:space="preserve">  Hisol 10</t>
  </si>
  <si>
    <t>B7Q-65016</t>
  </si>
  <si>
    <t>Ferr. red</t>
  </si>
  <si>
    <t>B7Q-414923</t>
  </si>
  <si>
    <t>B70-406337</t>
  </si>
  <si>
    <t>??</t>
  </si>
  <si>
    <t>B7G-55949</t>
  </si>
  <si>
    <t>B7Y4276755</t>
  </si>
  <si>
    <t>3010-14</t>
  </si>
  <si>
    <t>p-Chlorobenzotrifluorode</t>
  </si>
  <si>
    <t>DR657 HARDENER</t>
  </si>
  <si>
    <t xml:space="preserve">  2-Butoxyethyl Acetate</t>
  </si>
  <si>
    <t>3115-2</t>
  </si>
  <si>
    <t>champagne</t>
  </si>
  <si>
    <t>Toluol</t>
  </si>
  <si>
    <t>3018-1</t>
  </si>
  <si>
    <t>DH657</t>
  </si>
  <si>
    <t>DR643</t>
  </si>
  <si>
    <t>FP415-2</t>
  </si>
  <si>
    <t>2.1 Hi Build</t>
  </si>
  <si>
    <t>B70-55948</t>
  </si>
  <si>
    <t>FH416Q</t>
  </si>
  <si>
    <t>2.1 2K</t>
  </si>
  <si>
    <t>B70-4158008</t>
  </si>
  <si>
    <t>33W55 WHITE PIGMENT</t>
  </si>
  <si>
    <t>DR643 REDUCER</t>
  </si>
  <si>
    <t>Primer</t>
  </si>
  <si>
    <t>FP415Q PRIMER</t>
  </si>
  <si>
    <t>t-Bulyl Acetate</t>
  </si>
  <si>
    <t>540-88-5</t>
  </si>
  <si>
    <t>1-Methoxy-2-Propanol Acetate</t>
  </si>
  <si>
    <t>Trimethyloproplane triacetoacetate</t>
  </si>
  <si>
    <t>22208-25-9</t>
  </si>
  <si>
    <t>FH416Q HARDENER</t>
  </si>
  <si>
    <t>HAMMERTONE</t>
  </si>
  <si>
    <t>PGME</t>
  </si>
  <si>
    <t>2-methylpropyl acetate</t>
  </si>
  <si>
    <t>Pentyl acetate</t>
  </si>
  <si>
    <t xml:space="preserve">  Diacetone Alcohol</t>
  </si>
  <si>
    <t xml:space="preserve">  t-Butyl Acetate</t>
  </si>
  <si>
    <t>2208-25-9</t>
  </si>
  <si>
    <t xml:space="preserve">  Trimethylolpropane Tracetoacetate</t>
  </si>
  <si>
    <t xml:space="preserve">  Cycloheanone</t>
  </si>
  <si>
    <t>108-94-1</t>
  </si>
  <si>
    <t>1310-73-2</t>
  </si>
  <si>
    <t>Arcosolve DPM</t>
  </si>
  <si>
    <t>Arcosolve PM</t>
  </si>
  <si>
    <t>Caustic Soda</t>
  </si>
  <si>
    <t>Cyclohexanone</t>
  </si>
  <si>
    <t>Propylene</t>
  </si>
  <si>
    <t>Glass BC</t>
  </si>
  <si>
    <t>BC/TC</t>
  </si>
  <si>
    <t>1100727 
2.1 VOC</t>
  </si>
  <si>
    <t>F63B00021 POL ST BLACK</t>
  </si>
  <si>
    <t>Polane Base</t>
  </si>
  <si>
    <t>Polane Catalyst</t>
  </si>
  <si>
    <t>R7K84E</t>
  </si>
  <si>
    <t>Polane Reducer</t>
  </si>
  <si>
    <t>V66V55 Polane Catalyst</t>
  </si>
  <si>
    <t>V66V55</t>
  </si>
  <si>
    <t>Hexamethylene Diisocyanite Polymer</t>
  </si>
  <si>
    <t>1,2,4-Trimethylbenzene</t>
  </si>
  <si>
    <t>Light Aromatic Hydrocarbons</t>
  </si>
  <si>
    <t>Hexamethylene Diisocyanite (Max)</t>
  </si>
  <si>
    <t>Methyl n-Amyl Keytone</t>
  </si>
  <si>
    <t>Bis(pentamethyl-4-piperidyl)sebacate</t>
  </si>
  <si>
    <t>41556-26-7</t>
  </si>
  <si>
    <t>2597-55-1</t>
  </si>
  <si>
    <t>82919-37-7</t>
  </si>
  <si>
    <t>Pentamethyliperidyl Sebacate</t>
  </si>
  <si>
    <t>Benzontriazole Dipentyphenol</t>
  </si>
  <si>
    <t>B70-57077 B7G-B7 IX</t>
  </si>
  <si>
    <t>HDR22</t>
  </si>
  <si>
    <t>Hi Build Poly</t>
  </si>
  <si>
    <t>HDR23</t>
  </si>
  <si>
    <t>HDR22 - POLYESTER PRIMER SURFACER</t>
  </si>
  <si>
    <t>HDRH23 POLYESTER PRIMER HARDENER</t>
  </si>
  <si>
    <t>R7K84E POLANE REDUCER</t>
  </si>
  <si>
    <t>Isopropyl Acetate</t>
  </si>
  <si>
    <t>108-21-4</t>
  </si>
  <si>
    <t>Styrene</t>
  </si>
  <si>
    <t>100-42-1</t>
  </si>
  <si>
    <t>Methyl Acetate</t>
  </si>
  <si>
    <t>79-20-9</t>
  </si>
  <si>
    <t>Dimethyl Phthalate</t>
  </si>
  <si>
    <t>131-11-3</t>
  </si>
  <si>
    <t>Methyl Ethyl Keytine Peroxide</t>
  </si>
  <si>
    <t>1338-23-4</t>
  </si>
  <si>
    <t>Non-reported (% solids)</t>
  </si>
  <si>
    <t>F63B21</t>
  </si>
  <si>
    <t>P27</t>
  </si>
  <si>
    <t>H45</t>
  </si>
  <si>
    <t>ES15</t>
  </si>
  <si>
    <t>Compl Solv</t>
  </si>
  <si>
    <t>P27 - Low VOC Primer</t>
  </si>
  <si>
    <t>Low Voc Primer</t>
  </si>
  <si>
    <t>p-Chlorobenzotriflouride</t>
  </si>
  <si>
    <t>H45 Low VOC Hardener</t>
  </si>
  <si>
    <t>Low VOC Hardener</t>
  </si>
  <si>
    <t>ES15 - Transducer Compliant Solvent</t>
  </si>
  <si>
    <t>FP405</t>
  </si>
  <si>
    <t>1k High Build Prm</t>
  </si>
  <si>
    <t>2-Butoxyethenol</t>
  </si>
  <si>
    <t>2-Methylpropyl Acetate</t>
  </si>
  <si>
    <t>78-92-2</t>
  </si>
  <si>
    <t xml:space="preserve">Xylene </t>
  </si>
  <si>
    <t xml:space="preserve">Ethylbenzene </t>
  </si>
  <si>
    <t xml:space="preserve">Toluene </t>
  </si>
  <si>
    <t>Isopropanol</t>
  </si>
  <si>
    <t xml:space="preserve"> 67-63-0 </t>
  </si>
  <si>
    <t xml:space="preserve">Para Toluene Sulfonic Acid </t>
  </si>
  <si>
    <t xml:space="preserve">6192-52-5 </t>
  </si>
  <si>
    <t xml:space="preserve">Distillates (petroleum), hydrotreated light </t>
  </si>
  <si>
    <t xml:space="preserve">Medium Aliphatic Solvent Naptha (petroleum) </t>
  </si>
  <si>
    <t>64742-47-8</t>
  </si>
  <si>
    <t>64742-88-7</t>
  </si>
  <si>
    <t>Sodium Hydroxide</t>
  </si>
  <si>
    <t>‎4098-71-9</t>
  </si>
  <si>
    <t xml:space="preserve">  2-Butoxyethenol Acetate, Butylglycol Acetate</t>
  </si>
  <si>
    <t xml:space="preserve">  Isopropyl Acetate</t>
  </si>
  <si>
    <t xml:space="preserve">  Methyl Acetate</t>
  </si>
  <si>
    <t>Benzotriazole Dipentyphenol</t>
  </si>
  <si>
    <t>Methyl Ethyl Keytone Peroxide</t>
  </si>
  <si>
    <t>+/- %</t>
  </si>
  <si>
    <t>TOTAL SOLVENTS (Kg's)</t>
  </si>
  <si>
    <t>TOTAL PAINTS (Litres)</t>
  </si>
  <si>
    <t>Methylene Chloride</t>
  </si>
  <si>
    <t>75-09-2</t>
  </si>
  <si>
    <t>N'Butyl Acetate</t>
  </si>
  <si>
    <t>TOTAL CHLORINATED SOLVENTS</t>
  </si>
  <si>
    <t>CONT. SIZE</t>
  </si>
  <si>
    <t>3085-7</t>
  </si>
  <si>
    <t>AZELIS</t>
  </si>
  <si>
    <t>Flattening</t>
  </si>
  <si>
    <t>Paste</t>
  </si>
  <si>
    <t>KWH</t>
  </si>
  <si>
    <t>$$$</t>
  </si>
  <si>
    <t>PF</t>
  </si>
  <si>
    <t>$$/KWH</t>
  </si>
  <si>
    <t>AVE YTD</t>
  </si>
  <si>
    <t>Emission</t>
  </si>
  <si>
    <t>Calculated</t>
  </si>
  <si>
    <t>NPRI REPT</t>
  </si>
  <si>
    <t>REPORT?</t>
  </si>
  <si>
    <t>Factor</t>
  </si>
  <si>
    <t>CRITERIA</t>
  </si>
  <si>
    <t>1 m3 Natutal Gas = 1.15 kg at 20 degrees C</t>
  </si>
  <si>
    <t>Contaminant</t>
  </si>
  <si>
    <t>(Kg)</t>
  </si>
  <si>
    <t>NPRI</t>
  </si>
  <si>
    <t>ChemTRAC</t>
  </si>
  <si>
    <t>Particulate &lt; PM10</t>
  </si>
  <si>
    <t>NA-M09M</t>
  </si>
  <si>
    <t>NO</t>
  </si>
  <si>
    <r>
      <t>2.8 kg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1 kg. Natutal Gas</t>
    </r>
  </si>
  <si>
    <t>111-19-0</t>
  </si>
  <si>
    <r>
      <t>Oxides of Nitrogen (As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</si>
  <si>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10102-43-9</t>
  </si>
  <si>
    <t>Sulphur Dioxide</t>
  </si>
  <si>
    <t>7446-09-5</t>
  </si>
  <si>
    <t>kg emitted in 2016</t>
  </si>
  <si>
    <t>Carbon Monoxide</t>
  </si>
  <si>
    <t>630-08-0 M</t>
  </si>
  <si>
    <t>Carbon Dioxide</t>
  </si>
  <si>
    <t>124-38-9</t>
  </si>
  <si>
    <r>
      <t>Nitous Oxide (N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O)</t>
    </r>
  </si>
  <si>
    <t>10024-97-2</t>
  </si>
  <si>
    <t>Methane</t>
  </si>
  <si>
    <t>74-82-8</t>
  </si>
  <si>
    <t>Non-Methane Volatile Organics</t>
  </si>
  <si>
    <t>NA-M09</t>
  </si>
  <si>
    <t>Mineral spirits</t>
  </si>
  <si>
    <t>Proprietary</t>
  </si>
  <si>
    <t>Particulate</t>
  </si>
  <si>
    <t>Solids      (kg)</t>
  </si>
  <si>
    <t>Transfer Effic.</t>
  </si>
  <si>
    <t>Mass Emitted     (kg)</t>
  </si>
  <si>
    <t>Paint</t>
  </si>
  <si>
    <t>46C46 Flatting Base</t>
  </si>
  <si>
    <t>D138 White</t>
  </si>
  <si>
    <t>AB35</t>
  </si>
  <si>
    <t>3001</t>
  </si>
  <si>
    <t>CC6105 Slip</t>
  </si>
  <si>
    <t>H60WXA6015</t>
  </si>
  <si>
    <t>Ultra 7000</t>
  </si>
  <si>
    <t>DR657</t>
  </si>
  <si>
    <t>2.1 VOC Matte</t>
  </si>
  <si>
    <t>E55 Reducer</t>
  </si>
  <si>
    <t>FP415Q Primer</t>
  </si>
  <si>
    <t>FH416Q Hardener</t>
  </si>
  <si>
    <t>Multi 1U-XXX</t>
  </si>
  <si>
    <t>Multi 4U-XXX</t>
  </si>
  <si>
    <t>Hammertone</t>
  </si>
  <si>
    <t>PPG Black Urethane</t>
  </si>
  <si>
    <t>PPG Urethane Hardener</t>
  </si>
  <si>
    <t>Mettalux2052-NL-PA Alum</t>
  </si>
  <si>
    <t>PSCW-20L Strippable</t>
  </si>
  <si>
    <t xml:space="preserve">Total Particulate </t>
  </si>
  <si>
    <t>Dec 31 - Jan 31</t>
  </si>
  <si>
    <t>Apr 30 - May 31</t>
  </si>
  <si>
    <t>May 31 - Jun 30</t>
  </si>
  <si>
    <t>Jul 31 - Aug 31</t>
  </si>
  <si>
    <t>Aug 31 - Sep 30</t>
  </si>
  <si>
    <t>Oct 31 - Nov 30</t>
  </si>
  <si>
    <t>Sep 30 - Oct 31</t>
  </si>
  <si>
    <t>CC-6105-2 SLIP</t>
  </si>
  <si>
    <t>n'Butanol</t>
  </si>
  <si>
    <t>67-63-0</t>
  </si>
  <si>
    <t>Isoamyl Acetate</t>
  </si>
  <si>
    <t>123-92-2</t>
  </si>
  <si>
    <t>Stoddard Solvent</t>
  </si>
  <si>
    <t>Aliphatic Hydrocarbon</t>
  </si>
  <si>
    <t>Hyrdreated light napthene</t>
  </si>
  <si>
    <t>2-Butanol</t>
  </si>
  <si>
    <t>Hydrotreted light petroleum distillates</t>
  </si>
  <si>
    <t>FP FLATTING BASE</t>
  </si>
  <si>
    <t>Ethyl benzene</t>
  </si>
  <si>
    <t>ESTIMATION OF PARTICULATE EMISSIONS</t>
  </si>
  <si>
    <t>EMITTED SOLIDS    (kg)</t>
  </si>
  <si>
    <t>FILTRATION  EFFICIENCY    (%)</t>
  </si>
  <si>
    <t>PARTICULATE EMITTED       (kg)</t>
  </si>
  <si>
    <t>TOTAL PARTICULATE</t>
  </si>
  <si>
    <t xml:space="preserve">  Isopropanol</t>
  </si>
  <si>
    <t xml:space="preserve">  VM&amp;P Naptha</t>
  </si>
  <si>
    <t xml:space="preserve">   Aliphatic Petroleum Naptha</t>
  </si>
  <si>
    <t xml:space="preserve">   VM&amp;P</t>
  </si>
  <si>
    <t xml:space="preserve">  Isoamyl acetate</t>
  </si>
  <si>
    <t>Solids/Non-Volatile</t>
  </si>
  <si>
    <t>Tonne</t>
  </si>
  <si>
    <t xml:space="preserve">  Total Glycol Ethers and Acetates</t>
  </si>
  <si>
    <t>3093-2</t>
  </si>
  <si>
    <t>3018-2</t>
  </si>
  <si>
    <t>PEARL</t>
  </si>
  <si>
    <t>VB266</t>
  </si>
  <si>
    <t xml:space="preserve">E-900 </t>
  </si>
  <si>
    <t>RICH EAP</t>
  </si>
  <si>
    <t>FP405 High Build Primer</t>
  </si>
  <si>
    <t>???</t>
  </si>
  <si>
    <t>E-900 RICH EAP</t>
  </si>
  <si>
    <t>AZELIS ECKART</t>
  </si>
  <si>
    <t>Non-Hazardous</t>
  </si>
  <si>
    <t>May 31 - Jul 1</t>
  </si>
  <si>
    <t>May 1 - May 31</t>
  </si>
  <si>
    <t>Apr 1 - May 1</t>
  </si>
  <si>
    <t>Nov 30 - Dec 31</t>
  </si>
  <si>
    <t>P405 Primer</t>
  </si>
  <si>
    <t>P207 - Low VOC Primer</t>
  </si>
  <si>
    <t>3115-3</t>
  </si>
  <si>
    <t>VB226</t>
  </si>
  <si>
    <t>Light Aliphatic Naptha</t>
  </si>
  <si>
    <t>Triethylamine</t>
  </si>
  <si>
    <t>121-44-8</t>
  </si>
  <si>
    <t>Isopropyl Alcohol</t>
  </si>
  <si>
    <t>Isoamyl actetate</t>
  </si>
  <si>
    <t>MICRO-COLOR</t>
  </si>
  <si>
    <t>MICRYL BLACK</t>
  </si>
  <si>
    <t>SA4</t>
  </si>
  <si>
    <t xml:space="preserve">MICROCOLOR </t>
  </si>
  <si>
    <t>MICRYL BLACK SA4</t>
  </si>
  <si>
    <t>di(propylene glycol methyl ether acetate</t>
  </si>
  <si>
    <t>Solvent Naptha, avy petroleum</t>
  </si>
  <si>
    <t>Solvent Naptha</t>
  </si>
  <si>
    <t xml:space="preserve">  Triethylamine</t>
  </si>
  <si>
    <t>Incr/(Decr) vs 2020</t>
  </si>
  <si>
    <t>SOLVENT CONSUMPTION INFORMATION  -  CALENDAR YEAR 2021</t>
  </si>
  <si>
    <t>2021 PURCHASES</t>
  </si>
  <si>
    <t>NPRI/MOE REPORTING - CALENDAR YEAR 2021</t>
  </si>
  <si>
    <t>MICROCOLOR MICRYL BLACK SA4</t>
  </si>
  <si>
    <t>Dec 31-Jan 31</t>
  </si>
  <si>
    <t>Jan 31 - Feb 28</t>
  </si>
  <si>
    <t>Feb 28 - Mar 31</t>
  </si>
  <si>
    <t>Mar 31 - Apr 30</t>
  </si>
  <si>
    <t>Jun 30 - Jul 31</t>
  </si>
  <si>
    <t>ENBRIDGE - Natural Gas 2021</t>
  </si>
  <si>
    <t>Jan 4-Feb 1</t>
  </si>
  <si>
    <t>Feb 2-Mar 1</t>
  </si>
  <si>
    <t>Mar 2-Apr 1</t>
  </si>
  <si>
    <t>Apr 2 -May 2</t>
  </si>
  <si>
    <t>May 3 -Jun 1</t>
  </si>
  <si>
    <t>Jun 2-Jul 1</t>
  </si>
  <si>
    <t>Jul 2-Aug 1</t>
  </si>
  <si>
    <t>Aug 2-Sep 1</t>
  </si>
  <si>
    <t>Sep 2-Oct 1</t>
  </si>
  <si>
    <t>Oct 2-Nov 1</t>
  </si>
  <si>
    <t>Nov 2-Dec 1</t>
  </si>
  <si>
    <t>Dec 2-Jan 1</t>
  </si>
  <si>
    <t>Feb 28 - Apr 1</t>
  </si>
  <si>
    <t>Jul 1 - Aug 1</t>
  </si>
  <si>
    <t>Jul 31 - Sep 1</t>
  </si>
  <si>
    <t>Sep 1 - Oct 1</t>
  </si>
  <si>
    <t>Oct 1 - Oct 31</t>
  </si>
  <si>
    <t>Oct 31 - Dec 1</t>
  </si>
  <si>
    <t>Dec 1 - Dec 31</t>
  </si>
  <si>
    <t>WATER - 2021</t>
  </si>
  <si>
    <t>PREPARED APR 27, 2022</t>
  </si>
  <si>
    <t>BIILING  PERIOD</t>
  </si>
  <si>
    <t>CONSUM-PTION (m3)</t>
  </si>
  <si>
    <t>BILLING ($)</t>
  </si>
  <si>
    <t>COST/m3</t>
  </si>
  <si>
    <t>ELECTRICITY - 2021</t>
  </si>
  <si>
    <t>BIILLING PERIOD</t>
  </si>
  <si>
    <r>
      <t>kg/10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m</t>
    </r>
    <r>
      <rPr>
        <b/>
        <vertAlign val="superscript"/>
        <sz val="10"/>
        <rFont val="Arial"/>
        <family val="2"/>
      </rPr>
      <t>3</t>
    </r>
  </si>
  <si>
    <t xml:space="preserve">THRESHOLD </t>
  </si>
  <si>
    <t>CATEGORY</t>
  </si>
  <si>
    <t>REPORTING</t>
  </si>
  <si>
    <t>THRESHOLD</t>
  </si>
  <si>
    <t>1 tonne</t>
  </si>
  <si>
    <t>1A</t>
  </si>
  <si>
    <t>10 tonnes</t>
  </si>
  <si>
    <t>5/1A</t>
  </si>
  <si>
    <t>1/10 tonnes</t>
  </si>
  <si>
    <t xml:space="preserve">67-63-0 </t>
  </si>
  <si>
    <t>LV</t>
  </si>
  <si>
    <t>TOUCH-UP PAINT</t>
  </si>
  <si>
    <t>Aerosol Can</t>
  </si>
  <si>
    <t>Paint can</t>
  </si>
  <si>
    <t>AEROSOL CANS</t>
  </si>
  <si>
    <t>Butanone</t>
  </si>
  <si>
    <t>Cyclohex-anone</t>
  </si>
  <si>
    <t xml:space="preserve">  Cyclohex-anone</t>
  </si>
  <si>
    <t xml:space="preserve">  Methylene Chloride</t>
  </si>
  <si>
    <t>75-09-02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</si>
</sst>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00"/>
    <numFmt numFmtId="167" formatCode="0.0000"/>
    <numFmt numFmtId="168" formatCode="0.0%"/>
    <numFmt numFmtId="169" formatCode="#,##0.0"/>
    <numFmt numFmtId="170" formatCode="_-* #,##0_-;\-* #,##0_-;_-* &quot;-&quot;??_-;_-@_-"/>
    <numFmt numFmtId="171" formatCode="0.000"/>
    <numFmt numFmtId="172" formatCode="_-&quot;$&quot;* #,##0.00_-;\-&quot;$&quot;* #,##0.00_-;_-&quot;$&quot;* &quot;-&quot;??_-;_-@_-"/>
    <numFmt numFmtId="173" formatCode="_-&quot;$&quot;* #,##0.000_-;\-&quot;$&quot;* #,##0.000_-;_-&quot;$&quot;* &quot;-&quot;??_-;_-@_-"/>
    <numFmt numFmtId="174" formatCode="#,##0.0_);\(#,##0.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Helvetica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7">
    <xf numFmtId="0" fontId="0" fillId="0" borderId="0" xfId="0"/>
    <xf numFmtId="9" fontId="2" fillId="0" borderId="20" xfId="2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8" xfId="0" applyFont="1" applyFill="1" applyBorder="1"/>
    <xf numFmtId="0" fontId="2" fillId="0" borderId="0" xfId="0" applyFont="1" applyFill="1"/>
    <xf numFmtId="0" fontId="2" fillId="0" borderId="41" xfId="0" applyFont="1" applyFill="1" applyBorder="1"/>
    <xf numFmtId="9" fontId="2" fillId="0" borderId="14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18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center"/>
    </xf>
    <xf numFmtId="0" fontId="2" fillId="0" borderId="57" xfId="0" applyFont="1" applyFill="1" applyBorder="1" applyAlignment="1">
      <alignment horizontal="center" vertical="center"/>
    </xf>
    <xf numFmtId="168" fontId="2" fillId="0" borderId="9" xfId="2" applyNumberFormat="1" applyFont="1" applyFill="1" applyBorder="1" applyAlignment="1">
      <alignment horizontal="center"/>
    </xf>
    <xf numFmtId="166" fontId="2" fillId="0" borderId="18" xfId="0" applyNumberFormat="1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5" fillId="0" borderId="18" xfId="0" applyFont="1" applyFill="1" applyBorder="1"/>
    <xf numFmtId="0" fontId="2" fillId="0" borderId="18" xfId="0" applyFont="1" applyFill="1" applyBorder="1" applyAlignment="1">
      <alignment horizontal="left" vertical="center"/>
    </xf>
    <xf numFmtId="10" fontId="2" fillId="0" borderId="18" xfId="0" applyNumberFormat="1" applyFont="1" applyFill="1" applyBorder="1"/>
    <xf numFmtId="0" fontId="3" fillId="0" borderId="3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1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0" fontId="2" fillId="0" borderId="18" xfId="0" quotePrefix="1" applyNumberFormat="1" applyFont="1" applyFill="1" applyBorder="1" applyAlignment="1">
      <alignment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64" fontId="2" fillId="0" borderId="5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48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56" xfId="0" applyNumberFormat="1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64" fontId="2" fillId="0" borderId="34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49" xfId="0" applyFont="1" applyFill="1" applyBorder="1" applyAlignment="1">
      <alignment horizontal="center" vertical="center"/>
    </xf>
    <xf numFmtId="164" fontId="2" fillId="0" borderId="58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0" fillId="0" borderId="0" xfId="2" applyFon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34" xfId="0" applyFont="1" applyFill="1" applyBorder="1"/>
    <xf numFmtId="3" fontId="9" fillId="0" borderId="34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18" xfId="0" applyBorder="1"/>
    <xf numFmtId="0" fontId="0" fillId="0" borderId="34" xfId="0" applyBorder="1"/>
    <xf numFmtId="0" fontId="0" fillId="0" borderId="51" xfId="0" applyBorder="1"/>
    <xf numFmtId="0" fontId="0" fillId="0" borderId="41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9" fillId="0" borderId="0" xfId="0" applyFont="1"/>
    <xf numFmtId="0" fontId="2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2" xfId="0" applyBorder="1"/>
    <xf numFmtId="0" fontId="7" fillId="0" borderId="14" xfId="0" applyFont="1" applyBorder="1" applyAlignment="1">
      <alignment horizontal="right"/>
    </xf>
    <xf numFmtId="0" fontId="7" fillId="0" borderId="6" xfId="0" applyFont="1" applyFill="1" applyBorder="1" applyAlignment="1">
      <alignment horizontal="left" vertical="center"/>
    </xf>
    <xf numFmtId="0" fontId="0" fillId="0" borderId="7" xfId="0" applyBorder="1"/>
    <xf numFmtId="0" fontId="7" fillId="0" borderId="8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2" fillId="0" borderId="0" xfId="3" applyFill="1"/>
    <xf numFmtId="0" fontId="2" fillId="0" borderId="0" xfId="3" applyFill="1" applyBorder="1"/>
    <xf numFmtId="0" fontId="2" fillId="0" borderId="0" xfId="3" applyFont="1" applyFill="1"/>
    <xf numFmtId="0" fontId="2" fillId="0" borderId="0" xfId="3"/>
    <xf numFmtId="0" fontId="3" fillId="0" borderId="0" xfId="3" applyFont="1" applyFill="1" applyBorder="1"/>
    <xf numFmtId="0" fontId="2" fillId="0" borderId="0" xfId="3" applyFill="1" applyAlignment="1"/>
    <xf numFmtId="0" fontId="2" fillId="0" borderId="1" xfId="3" applyFill="1" applyBorder="1"/>
    <xf numFmtId="0" fontId="2" fillId="0" borderId="2" xfId="3" applyFill="1" applyBorder="1"/>
    <xf numFmtId="0" fontId="2" fillId="0" borderId="5" xfId="3" applyFill="1" applyBorder="1"/>
    <xf numFmtId="0" fontId="2" fillId="0" borderId="5" xfId="3" applyFill="1" applyBorder="1" applyAlignment="1">
      <alignment horizontal="center"/>
    </xf>
    <xf numFmtId="0" fontId="2" fillId="0" borderId="18" xfId="3" applyFill="1" applyBorder="1"/>
    <xf numFmtId="0" fontId="2" fillId="0" borderId="20" xfId="3" applyFill="1" applyBorder="1"/>
    <xf numFmtId="164" fontId="2" fillId="0" borderId="0" xfId="3" applyNumberFormat="1" applyFill="1" applyBorder="1" applyAlignment="1">
      <alignment horizontal="center"/>
    </xf>
    <xf numFmtId="0" fontId="2" fillId="0" borderId="25" xfId="3" applyFill="1" applyBorder="1"/>
    <xf numFmtId="0" fontId="2" fillId="0" borderId="17" xfId="3" applyFill="1" applyBorder="1"/>
    <xf numFmtId="0" fontId="2" fillId="0" borderId="20" xfId="3" applyFill="1" applyBorder="1" applyAlignment="1">
      <alignment horizontal="center"/>
    </xf>
    <xf numFmtId="0" fontId="2" fillId="0" borderId="0" xfId="3" applyFill="1" applyBorder="1" applyAlignment="1">
      <alignment horizontal="center"/>
    </xf>
    <xf numFmtId="1" fontId="2" fillId="0" borderId="0" xfId="3" applyNumberFormat="1" applyFill="1"/>
    <xf numFmtId="0" fontId="2" fillId="0" borderId="34" xfId="3" applyFont="1" applyFill="1" applyBorder="1" applyAlignment="1">
      <alignment horizontal="center"/>
    </xf>
    <xf numFmtId="0" fontId="2" fillId="0" borderId="0" xfId="3" applyFill="1" applyBorder="1" applyAlignment="1"/>
    <xf numFmtId="0" fontId="2" fillId="0" borderId="6" xfId="3" applyFill="1" applyBorder="1" applyAlignment="1">
      <alignment horizontal="center"/>
    </xf>
    <xf numFmtId="164" fontId="2" fillId="0" borderId="22" xfId="3" applyNumberFormat="1" applyFill="1" applyBorder="1"/>
    <xf numFmtId="0" fontId="2" fillId="0" borderId="23" xfId="3" applyFill="1" applyBorder="1"/>
    <xf numFmtId="0" fontId="2" fillId="0" borderId="22" xfId="3" applyFill="1" applyBorder="1"/>
    <xf numFmtId="0" fontId="2" fillId="0" borderId="0" xfId="3" applyFont="1" applyFill="1" applyBorder="1"/>
    <xf numFmtId="0" fontId="2" fillId="0" borderId="17" xfId="3" applyFont="1" applyFill="1" applyBorder="1"/>
    <xf numFmtId="0" fontId="2" fillId="0" borderId="18" xfId="3" applyFont="1" applyFill="1" applyBorder="1"/>
    <xf numFmtId="3" fontId="2" fillId="0" borderId="0" xfId="3" applyNumberFormat="1" applyFill="1" applyBorder="1" applyAlignment="1">
      <alignment horizontal="center"/>
    </xf>
    <xf numFmtId="1" fontId="2" fillId="0" borderId="18" xfId="3" applyNumberFormat="1" applyFill="1" applyBorder="1" applyAlignment="1">
      <alignment horizontal="center"/>
    </xf>
    <xf numFmtId="167" fontId="2" fillId="0" borderId="18" xfId="3" applyNumberFormat="1" applyFill="1" applyBorder="1" applyAlignment="1">
      <alignment horizontal="center"/>
    </xf>
    <xf numFmtId="9" fontId="2" fillId="0" borderId="19" xfId="2" applyFill="1" applyBorder="1" applyAlignment="1">
      <alignment horizontal="center"/>
    </xf>
    <xf numFmtId="9" fontId="2" fillId="0" borderId="20" xfId="3" applyNumberFormat="1" applyFill="1" applyBorder="1" applyAlignment="1">
      <alignment horizontal="center"/>
    </xf>
    <xf numFmtId="168" fontId="2" fillId="0" borderId="18" xfId="2" applyNumberFormat="1" applyFill="1" applyBorder="1" applyAlignment="1">
      <alignment horizontal="center"/>
    </xf>
    <xf numFmtId="168" fontId="2" fillId="0" borderId="0" xfId="2" applyNumberFormat="1" applyFill="1" applyBorder="1" applyAlignment="1">
      <alignment horizontal="center"/>
    </xf>
    <xf numFmtId="1" fontId="2" fillId="0" borderId="17" xfId="2" applyNumberFormat="1" applyFont="1" applyFill="1" applyBorder="1" applyAlignment="1">
      <alignment horizontal="center"/>
    </xf>
    <xf numFmtId="2" fontId="2" fillId="0" borderId="43" xfId="2" applyNumberFormat="1" applyFont="1" applyFill="1" applyBorder="1" applyAlignment="1">
      <alignment horizontal="center"/>
    </xf>
    <xf numFmtId="9" fontId="2" fillId="0" borderId="0" xfId="3" applyNumberFormat="1" applyFill="1"/>
    <xf numFmtId="164" fontId="2" fillId="0" borderId="0" xfId="3" applyNumberFormat="1" applyFill="1"/>
    <xf numFmtId="0" fontId="2" fillId="0" borderId="18" xfId="3" applyFill="1" applyBorder="1" applyAlignment="1">
      <alignment horizontal="center"/>
    </xf>
    <xf numFmtId="0" fontId="2" fillId="0" borderId="10" xfId="3" applyFill="1" applyBorder="1"/>
    <xf numFmtId="0" fontId="2" fillId="0" borderId="34" xfId="3" applyFill="1" applyBorder="1" applyAlignment="1">
      <alignment horizontal="center"/>
    </xf>
    <xf numFmtId="164" fontId="2" fillId="0" borderId="0" xfId="3" applyNumberFormat="1" applyFont="1" applyFill="1"/>
    <xf numFmtId="164" fontId="2" fillId="0" borderId="0" xfId="3" applyNumberFormat="1" applyFill="1" applyBorder="1"/>
    <xf numFmtId="0" fontId="2" fillId="0" borderId="41" xfId="3" applyFont="1" applyFill="1" applyBorder="1"/>
    <xf numFmtId="0" fontId="2" fillId="0" borderId="40" xfId="3" applyFont="1" applyFill="1" applyBorder="1"/>
    <xf numFmtId="164" fontId="2" fillId="0" borderId="9" xfId="3" applyNumberFormat="1" applyFont="1" applyFill="1" applyBorder="1"/>
    <xf numFmtId="9" fontId="2" fillId="0" borderId="20" xfId="2" applyFill="1" applyBorder="1" applyAlignment="1">
      <alignment horizontal="center"/>
    </xf>
    <xf numFmtId="171" fontId="2" fillId="0" borderId="22" xfId="3" applyNumberFormat="1" applyFill="1" applyBorder="1"/>
    <xf numFmtId="9" fontId="2" fillId="0" borderId="0" xfId="2" applyFill="1"/>
    <xf numFmtId="164" fontId="2" fillId="0" borderId="18" xfId="3" applyNumberFormat="1" applyFill="1" applyBorder="1" applyAlignment="1">
      <alignment horizontal="center"/>
    </xf>
    <xf numFmtId="9" fontId="2" fillId="0" borderId="0" xfId="2" applyFill="1" applyBorder="1"/>
    <xf numFmtId="9" fontId="2" fillId="0" borderId="9" xfId="2" applyFill="1" applyBorder="1"/>
    <xf numFmtId="169" fontId="2" fillId="0" borderId="18" xfId="3" applyNumberFormat="1" applyFill="1" applyBorder="1" applyAlignment="1">
      <alignment horizontal="center"/>
    </xf>
    <xf numFmtId="0" fontId="2" fillId="0" borderId="0" xfId="3" applyFill="1" applyAlignment="1">
      <alignment horizontal="left"/>
    </xf>
    <xf numFmtId="164" fontId="2" fillId="0" borderId="9" xfId="3" applyNumberFormat="1" applyFill="1" applyBorder="1"/>
    <xf numFmtId="164" fontId="2" fillId="0" borderId="34" xfId="3" applyNumberFormat="1" applyFill="1" applyBorder="1"/>
    <xf numFmtId="0" fontId="2" fillId="0" borderId="11" xfId="3" applyFill="1" applyBorder="1"/>
    <xf numFmtId="0" fontId="2" fillId="0" borderId="12" xfId="3" applyFill="1" applyBorder="1" applyAlignment="1">
      <alignment horizontal="center"/>
    </xf>
    <xf numFmtId="0" fontId="2" fillId="0" borderId="2" xfId="3" applyFill="1" applyBorder="1" applyAlignment="1">
      <alignment horizontal="center"/>
    </xf>
    <xf numFmtId="0" fontId="2" fillId="0" borderId="11" xfId="3" applyFont="1" applyFill="1" applyBorder="1"/>
    <xf numFmtId="0" fontId="2" fillId="0" borderId="11" xfId="3" applyFill="1" applyBorder="1" applyAlignment="1">
      <alignment horizontal="center"/>
    </xf>
    <xf numFmtId="0" fontId="2" fillId="0" borderId="34" xfId="3" applyFill="1" applyBorder="1"/>
    <xf numFmtId="164" fontId="2" fillId="0" borderId="18" xfId="3" applyNumberFormat="1" applyFill="1" applyBorder="1"/>
    <xf numFmtId="0" fontId="2" fillId="0" borderId="6" xfId="3" applyFont="1" applyFill="1" applyBorder="1" applyAlignment="1">
      <alignment horizontal="center"/>
    </xf>
    <xf numFmtId="1" fontId="2" fillId="0" borderId="0" xfId="3" applyNumberFormat="1" applyFill="1" applyBorder="1" applyAlignment="1">
      <alignment horizontal="center"/>
    </xf>
    <xf numFmtId="164" fontId="2" fillId="0" borderId="11" xfId="3" applyNumberFormat="1" applyFill="1" applyBorder="1" applyAlignment="1">
      <alignment horizontal="center"/>
    </xf>
    <xf numFmtId="9" fontId="2" fillId="0" borderId="9" xfId="3" applyNumberFormat="1" applyFill="1" applyBorder="1"/>
    <xf numFmtId="4" fontId="2" fillId="0" borderId="0" xfId="3" applyNumberFormat="1" applyFill="1" applyBorder="1" applyAlignment="1">
      <alignment horizontal="center"/>
    </xf>
    <xf numFmtId="10" fontId="2" fillId="0" borderId="17" xfId="3" applyNumberFormat="1" applyFill="1" applyBorder="1"/>
    <xf numFmtId="0" fontId="3" fillId="0" borderId="6" xfId="3" applyFont="1" applyFill="1" applyBorder="1"/>
    <xf numFmtId="0" fontId="2" fillId="0" borderId="7" xfId="3" applyFill="1" applyBorder="1"/>
    <xf numFmtId="0" fontId="2" fillId="0" borderId="8" xfId="3" applyFill="1" applyBorder="1"/>
    <xf numFmtId="0" fontId="3" fillId="0" borderId="34" xfId="3" applyFont="1" applyFill="1" applyBorder="1" applyAlignment="1">
      <alignment horizontal="center"/>
    </xf>
    <xf numFmtId="164" fontId="2" fillId="0" borderId="0" xfId="3" applyNumberFormat="1" applyFont="1" applyFill="1" applyBorder="1"/>
    <xf numFmtId="0" fontId="2" fillId="0" borderId="0" xfId="3" applyFill="1" applyAlignment="1">
      <alignment horizontal="right"/>
    </xf>
    <xf numFmtId="168" fontId="2" fillId="0" borderId="0" xfId="3" applyNumberFormat="1" applyFill="1"/>
    <xf numFmtId="168" fontId="2" fillId="0" borderId="0" xfId="2" applyNumberFormat="1" applyFont="1" applyFill="1"/>
    <xf numFmtId="173" fontId="2" fillId="0" borderId="0" xfId="3" applyNumberFormat="1" applyFill="1" applyBorder="1"/>
    <xf numFmtId="173" fontId="2" fillId="0" borderId="0" xfId="4" applyNumberFormat="1" applyFill="1" applyBorder="1"/>
    <xf numFmtId="0" fontId="2" fillId="0" borderId="14" xfId="3" applyFill="1" applyBorder="1" applyAlignment="1">
      <alignment horizontal="center"/>
    </xf>
    <xf numFmtId="172" fontId="2" fillId="0" borderId="0" xfId="4" applyFill="1" applyBorder="1"/>
    <xf numFmtId="0" fontId="2" fillId="0" borderId="41" xfId="3" applyFill="1" applyBorder="1"/>
    <xf numFmtId="164" fontId="2" fillId="0" borderId="36" xfId="3" applyNumberFormat="1" applyFill="1" applyBorder="1"/>
    <xf numFmtId="0" fontId="2" fillId="0" borderId="0" xfId="3" applyFill="1" applyBorder="1" applyAlignment="1">
      <alignment horizontal="left"/>
    </xf>
    <xf numFmtId="167" fontId="2" fillId="0" borderId="11" xfId="3" applyNumberFormat="1" applyFill="1" applyBorder="1" applyAlignment="1">
      <alignment horizontal="center"/>
    </xf>
    <xf numFmtId="9" fontId="2" fillId="0" borderId="13" xfId="2" applyFill="1" applyBorder="1" applyAlignment="1">
      <alignment horizontal="center"/>
    </xf>
    <xf numFmtId="169" fontId="2" fillId="0" borderId="10" xfId="3" applyNumberFormat="1" applyFill="1" applyBorder="1" applyAlignment="1">
      <alignment horizontal="center"/>
    </xf>
    <xf numFmtId="2" fontId="2" fillId="0" borderId="44" xfId="2" applyNumberFormat="1" applyFill="1" applyBorder="1" applyAlignment="1">
      <alignment horizontal="center"/>
    </xf>
    <xf numFmtId="9" fontId="2" fillId="0" borderId="14" xfId="2" applyFill="1" applyBorder="1" applyAlignment="1">
      <alignment horizontal="center"/>
    </xf>
    <xf numFmtId="3" fontId="2" fillId="0" borderId="34" xfId="3" applyNumberFormat="1" applyFill="1" applyBorder="1" applyAlignment="1">
      <alignment horizontal="center"/>
    </xf>
    <xf numFmtId="3" fontId="2" fillId="0" borderId="35" xfId="3" applyNumberFormat="1" applyFill="1" applyBorder="1" applyAlignment="1">
      <alignment horizontal="center"/>
    </xf>
    <xf numFmtId="169" fontId="2" fillId="0" borderId="7" xfId="3" applyNumberFormat="1" applyFill="1" applyBorder="1" applyAlignment="1">
      <alignment horizontal="center"/>
    </xf>
    <xf numFmtId="0" fontId="2" fillId="0" borderId="33" xfId="3" applyFill="1" applyBorder="1"/>
    <xf numFmtId="168" fontId="0" fillId="0" borderId="34" xfId="2" applyNumberFormat="1" applyFont="1" applyFill="1" applyBorder="1" applyAlignment="1">
      <alignment horizontal="center"/>
    </xf>
    <xf numFmtId="9" fontId="0" fillId="0" borderId="7" xfId="2" applyFont="1" applyFill="1" applyBorder="1" applyAlignment="1">
      <alignment horizontal="center"/>
    </xf>
    <xf numFmtId="1" fontId="2" fillId="0" borderId="10" xfId="2" applyNumberFormat="1" applyFont="1" applyFill="1" applyBorder="1" applyAlignment="1">
      <alignment horizontal="center"/>
    </xf>
    <xf numFmtId="1" fontId="2" fillId="0" borderId="0" xfId="3" applyNumberFormat="1" applyFill="1" applyBorder="1"/>
    <xf numFmtId="44" fontId="2" fillId="0" borderId="0" xfId="3" applyNumberFormat="1" applyFill="1"/>
    <xf numFmtId="165" fontId="0" fillId="0" borderId="11" xfId="1" applyFont="1" applyFill="1" applyBorder="1"/>
    <xf numFmtId="172" fontId="2" fillId="0" borderId="44" xfId="4" applyFill="1" applyBorder="1"/>
    <xf numFmtId="173" fontId="2" fillId="0" borderId="14" xfId="4" applyNumberFormat="1" applyFill="1" applyBorder="1"/>
    <xf numFmtId="0" fontId="2" fillId="0" borderId="14" xfId="3" applyFill="1" applyBorder="1"/>
    <xf numFmtId="0" fontId="2" fillId="0" borderId="3" xfId="3" applyFill="1" applyBorder="1" applyAlignment="1">
      <alignment horizontal="center"/>
    </xf>
    <xf numFmtId="164" fontId="2" fillId="0" borderId="2" xfId="3" applyNumberFormat="1" applyFill="1" applyBorder="1" applyAlignment="1">
      <alignment horizontal="center"/>
    </xf>
    <xf numFmtId="0" fontId="2" fillId="0" borderId="18" xfId="1" applyNumberFormat="1" applyFill="1" applyBorder="1" applyAlignment="1">
      <alignment horizontal="center"/>
    </xf>
    <xf numFmtId="14" fontId="2" fillId="0" borderId="18" xfId="3" quotePrefix="1" applyNumberFormat="1" applyFill="1" applyBorder="1"/>
    <xf numFmtId="43" fontId="2" fillId="0" borderId="0" xfId="3" applyNumberFormat="1" applyFill="1"/>
    <xf numFmtId="9" fontId="2" fillId="0" borderId="0" xfId="2" applyFill="1" applyAlignment="1">
      <alignment horizontal="center"/>
    </xf>
    <xf numFmtId="164" fontId="2" fillId="0" borderId="50" xfId="3" applyNumberFormat="1" applyFill="1" applyBorder="1"/>
    <xf numFmtId="0" fontId="2" fillId="0" borderId="0" xfId="3" applyFont="1" applyFill="1" applyAlignment="1">
      <alignment horizontal="center"/>
    </xf>
    <xf numFmtId="1" fontId="2" fillId="0" borderId="0" xfId="3" applyNumberFormat="1" applyFont="1" applyFill="1" applyBorder="1"/>
    <xf numFmtId="9" fontId="6" fillId="0" borderId="0" xfId="2" applyFont="1" applyFill="1"/>
    <xf numFmtId="9" fontId="0" fillId="0" borderId="0" xfId="2" applyFont="1" applyFill="1"/>
    <xf numFmtId="167" fontId="2" fillId="0" borderId="22" xfId="3" applyNumberFormat="1" applyFill="1" applyBorder="1"/>
    <xf numFmtId="164" fontId="6" fillId="0" borderId="0" xfId="3" applyNumberFormat="1" applyFont="1" applyFill="1"/>
    <xf numFmtId="9" fontId="2" fillId="0" borderId="0" xfId="2" applyFont="1" applyFill="1" applyBorder="1" applyAlignment="1">
      <alignment horizontal="center"/>
    </xf>
    <xf numFmtId="9" fontId="2" fillId="0" borderId="9" xfId="2" applyFont="1" applyFill="1" applyBorder="1" applyAlignment="1">
      <alignment horizontal="center"/>
    </xf>
    <xf numFmtId="10" fontId="2" fillId="0" borderId="0" xfId="3" applyNumberFormat="1" applyFill="1"/>
    <xf numFmtId="9" fontId="2" fillId="0" borderId="0" xfId="3" applyNumberFormat="1" applyFill="1" applyBorder="1" applyAlignment="1">
      <alignment horizontal="center"/>
    </xf>
    <xf numFmtId="10" fontId="2" fillId="0" borderId="0" xfId="3" applyNumberFormat="1" applyFill="1" applyBorder="1"/>
    <xf numFmtId="0" fontId="2" fillId="0" borderId="0" xfId="3" applyFill="1" applyBorder="1" applyAlignment="1">
      <alignment wrapText="1"/>
    </xf>
    <xf numFmtId="0" fontId="2" fillId="0" borderId="40" xfId="3" applyFill="1" applyBorder="1"/>
    <xf numFmtId="9" fontId="2" fillId="0" borderId="0" xfId="3" applyNumberFormat="1" applyFill="1" applyBorder="1"/>
    <xf numFmtId="9" fontId="2" fillId="0" borderId="0" xfId="2" applyFont="1" applyFill="1"/>
    <xf numFmtId="9" fontId="2" fillId="0" borderId="9" xfId="2" applyFont="1" applyFill="1" applyBorder="1"/>
    <xf numFmtId="2" fontId="2" fillId="0" borderId="22" xfId="3" applyNumberFormat="1" applyFill="1" applyBorder="1"/>
    <xf numFmtId="9" fontId="2" fillId="0" borderId="0" xfId="2" applyNumberFormat="1" applyFont="1" applyFill="1"/>
    <xf numFmtId="9" fontId="2" fillId="0" borderId="0" xfId="2" applyNumberFormat="1" applyFont="1" applyFill="1" applyBorder="1"/>
    <xf numFmtId="9" fontId="2" fillId="0" borderId="9" xfId="2" applyNumberFormat="1" applyFont="1" applyFill="1" applyBorder="1"/>
    <xf numFmtId="171" fontId="2" fillId="0" borderId="40" xfId="3" applyNumberFormat="1" applyFill="1" applyBorder="1"/>
    <xf numFmtId="9" fontId="0" fillId="0" borderId="0" xfId="2" applyFont="1" applyFill="1" applyBorder="1"/>
    <xf numFmtId="9" fontId="0" fillId="0" borderId="9" xfId="2" applyFont="1" applyFill="1" applyBorder="1"/>
    <xf numFmtId="0" fontId="2" fillId="0" borderId="0" xfId="3" applyFont="1" applyFill="1" applyBorder="1" applyAlignment="1">
      <alignment horizontal="left"/>
    </xf>
    <xf numFmtId="169" fontId="2" fillId="0" borderId="0" xfId="3" applyNumberFormat="1" applyFill="1"/>
    <xf numFmtId="9" fontId="2" fillId="0" borderId="0" xfId="2" applyFont="1" applyFill="1" applyBorder="1"/>
    <xf numFmtId="0" fontId="2" fillId="0" borderId="2" xfId="3" applyFill="1" applyBorder="1" applyAlignment="1">
      <alignment horizontal="center" wrapText="1"/>
    </xf>
    <xf numFmtId="0" fontId="2" fillId="0" borderId="2" xfId="3" applyFont="1" applyFill="1" applyBorder="1" applyAlignment="1">
      <alignment horizontal="center" wrapText="1"/>
    </xf>
    <xf numFmtId="0" fontId="2" fillId="0" borderId="11" xfId="3" applyFill="1" applyBorder="1" applyAlignment="1">
      <alignment wrapText="1"/>
    </xf>
    <xf numFmtId="164" fontId="2" fillId="0" borderId="41" xfId="3" applyNumberFormat="1" applyFill="1" applyBorder="1"/>
    <xf numFmtId="9" fontId="2" fillId="0" borderId="41" xfId="2" applyFill="1" applyBorder="1" applyAlignment="1">
      <alignment horizontal="center"/>
    </xf>
    <xf numFmtId="9" fontId="2" fillId="0" borderId="18" xfId="2" applyFill="1" applyBorder="1" applyAlignment="1">
      <alignment horizontal="center"/>
    </xf>
    <xf numFmtId="0" fontId="2" fillId="0" borderId="41" xfId="3" quotePrefix="1" applyFill="1" applyBorder="1"/>
    <xf numFmtId="0" fontId="2" fillId="0" borderId="41" xfId="3" applyFont="1" applyFill="1" applyBorder="1" applyAlignment="1">
      <alignment horizontal="left"/>
    </xf>
    <xf numFmtId="164" fontId="2" fillId="0" borderId="25" xfId="3" applyNumberFormat="1" applyFill="1" applyBorder="1"/>
    <xf numFmtId="9" fontId="2" fillId="0" borderId="25" xfId="2" applyFill="1" applyBorder="1" applyAlignment="1">
      <alignment horizontal="center"/>
    </xf>
    <xf numFmtId="0" fontId="2" fillId="0" borderId="41" xfId="3" quotePrefix="1" applyFill="1" applyBorder="1" applyAlignment="1">
      <alignment horizontal="left"/>
    </xf>
    <xf numFmtId="0" fontId="2" fillId="0" borderId="25" xfId="3" applyFont="1" applyFill="1" applyBorder="1" applyAlignment="1">
      <alignment horizontal="left"/>
    </xf>
    <xf numFmtId="164" fontId="2" fillId="0" borderId="25" xfId="3" applyNumberFormat="1" applyFill="1" applyBorder="1" applyAlignment="1">
      <alignment horizontal="right"/>
    </xf>
    <xf numFmtId="164" fontId="2" fillId="0" borderId="41" xfId="3" applyNumberFormat="1" applyFont="1" applyFill="1" applyBorder="1"/>
    <xf numFmtId="164" fontId="2" fillId="0" borderId="11" xfId="3" applyNumberFormat="1" applyFill="1" applyBorder="1"/>
    <xf numFmtId="9" fontId="2" fillId="0" borderId="42" xfId="2" applyFill="1" applyBorder="1" applyAlignment="1">
      <alignment horizontal="center"/>
    </xf>
    <xf numFmtId="9" fontId="0" fillId="0" borderId="0" xfId="0" applyNumberFormat="1" applyAlignment="1">
      <alignment vertical="center"/>
    </xf>
    <xf numFmtId="0" fontId="3" fillId="0" borderId="59" xfId="0" applyFont="1" applyFill="1" applyBorder="1" applyAlignment="1">
      <alignment horizontal="left" vertical="center"/>
    </xf>
    <xf numFmtId="9" fontId="0" fillId="0" borderId="0" xfId="2" applyFont="1" applyFill="1" applyBorder="1" applyAlignment="1">
      <alignment vertical="center"/>
    </xf>
    <xf numFmtId="9" fontId="0" fillId="0" borderId="9" xfId="2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vertical="center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9" fontId="12" fillId="0" borderId="0" xfId="2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/>
    </xf>
    <xf numFmtId="2" fontId="2" fillId="0" borderId="20" xfId="0" applyNumberFormat="1" applyFont="1" applyBorder="1" applyAlignment="1">
      <alignment vertical="center"/>
    </xf>
    <xf numFmtId="2" fontId="2" fillId="0" borderId="18" xfId="0" applyNumberFormat="1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vertical="center"/>
    </xf>
    <xf numFmtId="2" fontId="2" fillId="0" borderId="20" xfId="0" applyNumberFormat="1" applyFont="1" applyFill="1" applyBorder="1" applyAlignment="1">
      <alignment vertical="center"/>
    </xf>
    <xf numFmtId="9" fontId="2" fillId="0" borderId="4" xfId="2" applyFont="1" applyFill="1" applyBorder="1" applyAlignment="1">
      <alignment horizontal="center" vertical="center"/>
    </xf>
    <xf numFmtId="9" fontId="2" fillId="0" borderId="19" xfId="2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19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9" fontId="3" fillId="0" borderId="33" xfId="2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2" fontId="13" fillId="0" borderId="8" xfId="0" applyNumberFormat="1" applyFont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wrapText="1"/>
    </xf>
    <xf numFmtId="9" fontId="13" fillId="0" borderId="33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center"/>
    </xf>
    <xf numFmtId="0" fontId="2" fillId="0" borderId="4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3" fontId="2" fillId="0" borderId="2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/>
    <xf numFmtId="3" fontId="2" fillId="0" borderId="18" xfId="1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41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3" fontId="2" fillId="0" borderId="4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9" fontId="2" fillId="0" borderId="18" xfId="2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9" fontId="2" fillId="0" borderId="18" xfId="0" applyNumberFormat="1" applyFont="1" applyFill="1" applyBorder="1" applyAlignment="1">
      <alignment horizontal="center"/>
    </xf>
    <xf numFmtId="9" fontId="2" fillId="0" borderId="11" xfId="2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168" fontId="2" fillId="0" borderId="18" xfId="2" applyNumberFormat="1" applyFont="1" applyFill="1" applyBorder="1" applyAlignment="1">
      <alignment horizontal="center"/>
    </xf>
    <xf numFmtId="168" fontId="2" fillId="0" borderId="41" xfId="2" applyNumberFormat="1" applyFont="1" applyFill="1" applyBorder="1" applyAlignment="1">
      <alignment horizontal="center"/>
    </xf>
    <xf numFmtId="0" fontId="2" fillId="0" borderId="18" xfId="0" applyNumberFormat="1" applyFont="1" applyFill="1" applyBorder="1"/>
    <xf numFmtId="9" fontId="2" fillId="0" borderId="41" xfId="2" applyFont="1" applyFill="1" applyBorder="1" applyAlignment="1">
      <alignment horizontal="center"/>
    </xf>
    <xf numFmtId="9" fontId="2" fillId="0" borderId="18" xfId="2" applyFont="1" applyFill="1" applyBorder="1"/>
    <xf numFmtId="168" fontId="0" fillId="0" borderId="0" xfId="0" applyNumberFormat="1" applyAlignment="1">
      <alignment vertical="center"/>
    </xf>
    <xf numFmtId="0" fontId="0" fillId="0" borderId="0" xfId="0" applyFill="1" applyAlignment="1">
      <alignment horizontal="left" vertical="center"/>
    </xf>
    <xf numFmtId="9" fontId="0" fillId="0" borderId="0" xfId="2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9" fontId="3" fillId="0" borderId="7" xfId="2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vertical="center"/>
    </xf>
    <xf numFmtId="9" fontId="2" fillId="0" borderId="0" xfId="2" applyFont="1" applyFill="1" applyBorder="1" applyAlignment="1">
      <alignment vertical="center"/>
    </xf>
    <xf numFmtId="17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2" fontId="0" fillId="0" borderId="9" xfId="0" applyNumberFormat="1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3" fillId="0" borderId="27" xfId="0" applyFont="1" applyFill="1" applyBorder="1" applyAlignment="1">
      <alignment vertical="center"/>
    </xf>
    <xf numFmtId="9" fontId="0" fillId="0" borderId="9" xfId="2" applyNumberFormat="1" applyFont="1" applyFill="1" applyBorder="1" applyAlignment="1">
      <alignment vertical="center"/>
    </xf>
    <xf numFmtId="2" fontId="3" fillId="0" borderId="50" xfId="0" applyNumberFormat="1" applyFont="1" applyFill="1" applyBorder="1" applyAlignment="1">
      <alignment vertical="center"/>
    </xf>
    <xf numFmtId="9" fontId="3" fillId="0" borderId="50" xfId="2" applyFont="1" applyFill="1" applyBorder="1" applyAlignment="1">
      <alignment vertical="center"/>
    </xf>
    <xf numFmtId="0" fontId="3" fillId="0" borderId="50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9" fontId="3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5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vertical="center"/>
    </xf>
    <xf numFmtId="171" fontId="3" fillId="0" borderId="0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9" fontId="0" fillId="0" borderId="12" xfId="2" applyFont="1" applyFill="1" applyBorder="1" applyAlignment="1">
      <alignment vertical="center"/>
    </xf>
    <xf numFmtId="2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9" fontId="0" fillId="0" borderId="7" xfId="2" applyFont="1" applyFill="1" applyBorder="1" applyAlignment="1">
      <alignment vertical="center"/>
    </xf>
    <xf numFmtId="2" fontId="0" fillId="0" borderId="7" xfId="0" applyNumberForma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1" fontId="3" fillId="0" borderId="5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68" fontId="0" fillId="0" borderId="9" xfId="2" applyNumberFormat="1" applyFont="1" applyFill="1" applyBorder="1" applyAlignment="1">
      <alignment vertical="center"/>
    </xf>
    <xf numFmtId="9" fontId="0" fillId="0" borderId="50" xfId="2" applyFont="1" applyFill="1" applyBorder="1" applyAlignment="1">
      <alignment vertical="center"/>
    </xf>
    <xf numFmtId="0" fontId="2" fillId="0" borderId="17" xfId="0" quotePrefix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vertical="center"/>
    </xf>
    <xf numFmtId="0" fontId="0" fillId="0" borderId="29" xfId="0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0" fillId="0" borderId="63" xfId="0" applyFill="1" applyBorder="1" applyAlignment="1">
      <alignment horizontal="left" vertical="center"/>
    </xf>
    <xf numFmtId="0" fontId="3" fillId="0" borderId="60" xfId="0" applyFont="1" applyFill="1" applyBorder="1" applyAlignment="1">
      <alignment vertical="center"/>
    </xf>
    <xf numFmtId="168" fontId="0" fillId="0" borderId="0" xfId="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vertical="center"/>
    </xf>
    <xf numFmtId="9" fontId="3" fillId="0" borderId="3" xfId="2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0" fillId="0" borderId="36" xfId="0" applyFill="1" applyBorder="1" applyAlignment="1">
      <alignment horizontal="left" vertical="center"/>
    </xf>
    <xf numFmtId="0" fontId="0" fillId="0" borderId="40" xfId="0" applyFill="1" applyBorder="1" applyAlignment="1">
      <alignment vertical="center"/>
    </xf>
    <xf numFmtId="9" fontId="0" fillId="0" borderId="40" xfId="2" applyFont="1" applyFill="1" applyBorder="1" applyAlignment="1">
      <alignment vertical="center"/>
    </xf>
    <xf numFmtId="2" fontId="0" fillId="0" borderId="40" xfId="0" applyNumberFormat="1" applyFill="1" applyBorder="1" applyAlignment="1">
      <alignment vertical="center"/>
    </xf>
    <xf numFmtId="0" fontId="0" fillId="0" borderId="40" xfId="0" applyFill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9" fontId="9" fillId="0" borderId="34" xfId="0" applyNumberFormat="1" applyFont="1" applyFill="1" applyBorder="1" applyAlignment="1">
      <alignment horizontal="center"/>
    </xf>
    <xf numFmtId="168" fontId="2" fillId="0" borderId="25" xfId="2" applyNumberFormat="1" applyFont="1" applyFill="1" applyBorder="1" applyAlignment="1">
      <alignment horizontal="center"/>
    </xf>
    <xf numFmtId="168" fontId="2" fillId="0" borderId="34" xfId="2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37" fontId="2" fillId="0" borderId="18" xfId="1" applyNumberFormat="1" applyFont="1" applyFill="1" applyBorder="1" applyAlignment="1">
      <alignment horizontal="center"/>
    </xf>
    <xf numFmtId="37" fontId="2" fillId="0" borderId="41" xfId="1" applyNumberFormat="1" applyFont="1" applyFill="1" applyBorder="1" applyAlignment="1">
      <alignment horizontal="center"/>
    </xf>
    <xf numFmtId="39" fontId="2" fillId="0" borderId="18" xfId="1" applyNumberFormat="1" applyFont="1" applyFill="1" applyBorder="1" applyAlignment="1">
      <alignment horizontal="center"/>
    </xf>
    <xf numFmtId="37" fontId="2" fillId="0" borderId="11" xfId="1" applyNumberFormat="1" applyFont="1" applyFill="1" applyBorder="1" applyAlignment="1">
      <alignment horizontal="center"/>
    </xf>
    <xf numFmtId="37" fontId="9" fillId="0" borderId="11" xfId="1" applyNumberFormat="1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9" xfId="0" applyFont="1" applyFill="1" applyBorder="1"/>
    <xf numFmtId="4" fontId="2" fillId="0" borderId="9" xfId="0" applyNumberFormat="1" applyFont="1" applyFill="1" applyBorder="1" applyAlignment="1">
      <alignment horizontal="center"/>
    </xf>
    <xf numFmtId="166" fontId="2" fillId="0" borderId="25" xfId="0" applyNumberFormat="1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2" fontId="2" fillId="0" borderId="9" xfId="0" applyNumberFormat="1" applyFont="1" applyFill="1" applyBorder="1"/>
    <xf numFmtId="9" fontId="2" fillId="0" borderId="25" xfId="2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vertical="center"/>
    </xf>
    <xf numFmtId="3" fontId="2" fillId="0" borderId="25" xfId="1" applyNumberFormat="1" applyFont="1" applyFill="1" applyBorder="1" applyAlignment="1">
      <alignment horizontal="center"/>
    </xf>
    <xf numFmtId="9" fontId="2" fillId="0" borderId="9" xfId="0" applyNumberFormat="1" applyFont="1" applyFill="1" applyBorder="1" applyAlignment="1">
      <alignment horizontal="center"/>
    </xf>
    <xf numFmtId="37" fontId="2" fillId="0" borderId="25" xfId="1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164" fontId="2" fillId="0" borderId="18" xfId="2" applyNumberFormat="1" applyFont="1" applyFill="1" applyBorder="1" applyAlignment="1">
      <alignment horizontal="center"/>
    </xf>
    <xf numFmtId="164" fontId="2" fillId="0" borderId="41" xfId="2" applyNumberFormat="1" applyFont="1" applyFill="1" applyBorder="1" applyAlignment="1">
      <alignment horizontal="center"/>
    </xf>
    <xf numFmtId="2" fontId="2" fillId="0" borderId="18" xfId="0" applyNumberFormat="1" applyFont="1" applyFill="1" applyBorder="1"/>
    <xf numFmtId="2" fontId="2" fillId="0" borderId="18" xfId="2" applyNumberFormat="1" applyFont="1" applyFill="1" applyBorder="1" applyAlignment="1">
      <alignment horizontal="center"/>
    </xf>
    <xf numFmtId="164" fontId="2" fillId="0" borderId="25" xfId="2" applyNumberFormat="1" applyFont="1" applyFill="1" applyBorder="1" applyAlignment="1">
      <alignment horizontal="center"/>
    </xf>
    <xf numFmtId="2" fontId="2" fillId="0" borderId="25" xfId="0" applyNumberFormat="1" applyFont="1" applyFill="1" applyBorder="1"/>
    <xf numFmtId="9" fontId="9" fillId="0" borderId="11" xfId="2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174" fontId="9" fillId="0" borderId="34" xfId="1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21" xfId="0" quotePrefix="1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2" fontId="3" fillId="0" borderId="50" xfId="0" applyNumberFormat="1" applyFont="1" applyFill="1" applyBorder="1" applyAlignment="1">
      <alignment horizontal="right" vertical="center"/>
    </xf>
    <xf numFmtId="9" fontId="3" fillId="0" borderId="50" xfId="2" applyFont="1" applyFill="1" applyBorder="1" applyAlignment="1">
      <alignment horizontal="right" vertical="center"/>
    </xf>
    <xf numFmtId="9" fontId="2" fillId="0" borderId="0" xfId="2" applyFont="1" applyFill="1" applyBorder="1" applyAlignment="1">
      <alignment horizontal="right" vertical="center"/>
    </xf>
    <xf numFmtId="9" fontId="2" fillId="0" borderId="9" xfId="2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3" applyFill="1" applyBorder="1" applyAlignment="1">
      <alignment horizontal="center"/>
    </xf>
    <xf numFmtId="0" fontId="2" fillId="0" borderId="70" xfId="0" applyFont="1" applyFill="1" applyBorder="1" applyAlignment="1">
      <alignment horizontal="left" vertical="center"/>
    </xf>
    <xf numFmtId="0" fontId="0" fillId="0" borderId="71" xfId="0" applyFill="1" applyBorder="1" applyAlignment="1">
      <alignment vertical="center"/>
    </xf>
    <xf numFmtId="9" fontId="0" fillId="0" borderId="71" xfId="2" applyNumberFormat="1" applyFont="1" applyFill="1" applyBorder="1" applyAlignment="1">
      <alignment vertical="center"/>
    </xf>
    <xf numFmtId="2" fontId="0" fillId="0" borderId="71" xfId="0" applyNumberFormat="1" applyFill="1" applyBorder="1" applyAlignment="1">
      <alignment vertical="center"/>
    </xf>
    <xf numFmtId="0" fontId="0" fillId="0" borderId="71" xfId="0" applyFill="1" applyBorder="1" applyAlignment="1">
      <alignment horizontal="left" vertical="center"/>
    </xf>
    <xf numFmtId="0" fontId="3" fillId="0" borderId="66" xfId="0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vertical="center"/>
    </xf>
    <xf numFmtId="0" fontId="15" fillId="0" borderId="38" xfId="0" applyFont="1" applyFill="1" applyBorder="1" applyAlignment="1">
      <alignment vertical="center"/>
    </xf>
    <xf numFmtId="44" fontId="2" fillId="0" borderId="0" xfId="7" applyFont="1" applyFill="1" applyBorder="1"/>
    <xf numFmtId="0" fontId="2" fillId="0" borderId="34" xfId="5" applyFont="1" applyFill="1" applyBorder="1"/>
    <xf numFmtId="173" fontId="2" fillId="0" borderId="69" xfId="7" applyNumberFormat="1" applyFont="1" applyFill="1" applyBorder="1"/>
    <xf numFmtId="44" fontId="2" fillId="0" borderId="68" xfId="7" applyFont="1" applyFill="1" applyBorder="1"/>
    <xf numFmtId="43" fontId="2" fillId="0" borderId="42" xfId="8" applyFont="1" applyFill="1" applyBorder="1"/>
    <xf numFmtId="0" fontId="2" fillId="0" borderId="41" xfId="5" applyFont="1" applyFill="1" applyBorder="1"/>
    <xf numFmtId="173" fontId="2" fillId="0" borderId="38" xfId="7" applyNumberFormat="1" applyFont="1" applyFill="1" applyBorder="1"/>
    <xf numFmtId="44" fontId="2" fillId="0" borderId="46" xfId="7" applyFont="1" applyFill="1" applyBorder="1"/>
    <xf numFmtId="43" fontId="2" fillId="0" borderId="41" xfId="8" applyFont="1" applyFill="1" applyBorder="1"/>
    <xf numFmtId="16" fontId="2" fillId="0" borderId="41" xfId="5" applyNumberFormat="1" applyFont="1" applyFill="1" applyBorder="1"/>
    <xf numFmtId="43" fontId="2" fillId="0" borderId="18" xfId="8" applyFont="1" applyFill="1" applyBorder="1"/>
    <xf numFmtId="0" fontId="2" fillId="0" borderId="18" xfId="5" applyFont="1" applyFill="1" applyBorder="1"/>
    <xf numFmtId="44" fontId="2" fillId="0" borderId="47" xfId="7" applyFont="1" applyFill="1" applyBorder="1"/>
    <xf numFmtId="43" fontId="2" fillId="0" borderId="25" xfId="8" applyFont="1" applyFill="1" applyBorder="1"/>
    <xf numFmtId="44" fontId="2" fillId="0" borderId="43" xfId="7" applyFont="1" applyFill="1" applyBorder="1"/>
    <xf numFmtId="0" fontId="2" fillId="0" borderId="2" xfId="5" applyFont="1" applyFill="1" applyBorder="1"/>
    <xf numFmtId="173" fontId="2" fillId="0" borderId="14" xfId="7" applyNumberFormat="1" applyFont="1" applyFill="1" applyBorder="1" applyAlignment="1"/>
    <xf numFmtId="172" fontId="2" fillId="0" borderId="44" xfId="7" applyNumberFormat="1" applyFont="1" applyFill="1" applyBorder="1" applyAlignment="1"/>
    <xf numFmtId="170" fontId="2" fillId="0" borderId="33" xfId="8" applyNumberFormat="1" applyFont="1" applyFill="1" applyBorder="1" applyAlignment="1"/>
    <xf numFmtId="173" fontId="2" fillId="0" borderId="66" xfId="7" applyNumberFormat="1" applyFont="1" applyFill="1" applyBorder="1" applyAlignment="1"/>
    <xf numFmtId="44" fontId="2" fillId="0" borderId="68" xfId="7" applyFont="1" applyFill="1" applyBorder="1" applyAlignment="1"/>
    <xf numFmtId="170" fontId="2" fillId="0" borderId="13" xfId="8" applyNumberFormat="1" applyFont="1" applyFill="1" applyBorder="1" applyAlignment="1"/>
    <xf numFmtId="0" fontId="2" fillId="0" borderId="42" xfId="5" applyFont="1" applyFill="1" applyBorder="1"/>
    <xf numFmtId="173" fontId="2" fillId="0" borderId="38" xfId="7" applyNumberFormat="1" applyFont="1" applyFill="1" applyBorder="1" applyAlignment="1"/>
    <xf numFmtId="44" fontId="2" fillId="0" borderId="46" xfId="7" applyFont="1" applyFill="1" applyBorder="1" applyAlignment="1"/>
    <xf numFmtId="170" fontId="2" fillId="0" borderId="39" xfId="8" applyNumberFormat="1" applyFont="1" applyFill="1" applyBorder="1" applyAlignment="1"/>
    <xf numFmtId="170" fontId="2" fillId="0" borderId="19" xfId="8" applyNumberFormat="1" applyFont="1" applyFill="1" applyBorder="1" applyAlignment="1"/>
    <xf numFmtId="170" fontId="2" fillId="0" borderId="26" xfId="8" applyNumberFormat="1" applyFont="1" applyFill="1" applyBorder="1" applyAlignment="1"/>
    <xf numFmtId="173" fontId="2" fillId="0" borderId="65" xfId="7" applyNumberFormat="1" applyFont="1" applyFill="1" applyBorder="1" applyAlignment="1"/>
    <xf numFmtId="44" fontId="2" fillId="0" borderId="48" xfId="7" applyFont="1" applyFill="1" applyBorder="1" applyAlignment="1"/>
    <xf numFmtId="170" fontId="2" fillId="0" borderId="4" xfId="8" applyNumberFormat="1" applyFont="1" applyFill="1" applyBorder="1" applyAlignment="1"/>
    <xf numFmtId="173" fontId="2" fillId="0" borderId="31" xfId="5" applyNumberFormat="1" applyFont="1" applyFill="1" applyBorder="1"/>
    <xf numFmtId="173" fontId="2" fillId="0" borderId="32" xfId="7" applyNumberFormat="1" applyFont="1" applyFill="1" applyBorder="1"/>
    <xf numFmtId="9" fontId="2" fillId="0" borderId="44" xfId="6" applyFont="1" applyFill="1" applyBorder="1" applyAlignment="1">
      <alignment horizontal="center"/>
    </xf>
    <xf numFmtId="172" fontId="2" fillId="0" borderId="35" xfId="5" applyNumberFormat="1" applyFont="1" applyFill="1" applyBorder="1"/>
    <xf numFmtId="173" fontId="2" fillId="0" borderId="46" xfId="7" applyNumberFormat="1" applyFont="1" applyFill="1" applyBorder="1"/>
    <xf numFmtId="168" fontId="2" fillId="0" borderId="46" xfId="6" applyNumberFormat="1" applyFont="1" applyFill="1" applyBorder="1" applyAlignment="1">
      <alignment horizontal="center"/>
    </xf>
    <xf numFmtId="44" fontId="2" fillId="0" borderId="40" xfId="7" applyFont="1" applyFill="1" applyBorder="1"/>
    <xf numFmtId="173" fontId="2" fillId="0" borderId="20" xfId="7" applyNumberFormat="1" applyFont="1" applyFill="1" applyBorder="1"/>
    <xf numFmtId="168" fontId="2" fillId="0" borderId="47" xfId="6" applyNumberFormat="1" applyFont="1" applyFill="1" applyBorder="1" applyAlignment="1">
      <alignment horizontal="center"/>
    </xf>
    <xf numFmtId="173" fontId="2" fillId="0" borderId="5" xfId="5" applyNumberFormat="1" applyFont="1" applyFill="1" applyBorder="1"/>
    <xf numFmtId="173" fontId="2" fillId="0" borderId="48" xfId="7" applyNumberFormat="1" applyFont="1" applyFill="1" applyBorder="1"/>
    <xf numFmtId="168" fontId="2" fillId="0" borderId="67" xfId="6" applyNumberFormat="1" applyFont="1" applyFill="1" applyBorder="1" applyAlignment="1">
      <alignment horizontal="center"/>
    </xf>
    <xf numFmtId="44" fontId="2" fillId="0" borderId="64" xfId="7" applyFont="1" applyFill="1" applyBorder="1"/>
    <xf numFmtId="16" fontId="2" fillId="0" borderId="0" xfId="3" quotePrefix="1" applyNumberForma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0" fillId="0" borderId="70" xfId="0" applyFill="1" applyBorder="1" applyAlignment="1">
      <alignment horizontal="left" vertical="center"/>
    </xf>
    <xf numFmtId="9" fontId="0" fillId="0" borderId="71" xfId="2" applyFont="1" applyFill="1" applyBorder="1" applyAlignment="1">
      <alignment vertical="center"/>
    </xf>
    <xf numFmtId="2" fontId="2" fillId="0" borderId="46" xfId="0" applyNumberFormat="1" applyFont="1" applyFill="1" applyBorder="1" applyAlignment="1">
      <alignment horizontal="center" vertical="center"/>
    </xf>
    <xf numFmtId="2" fontId="2" fillId="0" borderId="48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9" fontId="0" fillId="0" borderId="0" xfId="2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68" fontId="0" fillId="0" borderId="12" xfId="2" applyNumberFormat="1" applyFont="1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168" fontId="0" fillId="0" borderId="40" xfId="2" applyNumberFormat="1" applyFont="1" applyFill="1" applyBorder="1" applyAlignment="1">
      <alignment vertical="center"/>
    </xf>
    <xf numFmtId="0" fontId="2" fillId="0" borderId="71" xfId="0" applyFont="1" applyFill="1" applyBorder="1" applyAlignment="1">
      <alignment horizontal="left" vertical="center"/>
    </xf>
    <xf numFmtId="9" fontId="2" fillId="0" borderId="40" xfId="2" applyFont="1" applyFill="1" applyBorder="1" applyAlignment="1">
      <alignment vertical="center"/>
    </xf>
    <xf numFmtId="2" fontId="2" fillId="0" borderId="40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horizontal="left" vertical="center"/>
    </xf>
    <xf numFmtId="9" fontId="2" fillId="0" borderId="9" xfId="2" applyFont="1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0" xfId="3" applyFill="1" applyBorder="1" applyAlignment="1">
      <alignment horizontal="center"/>
    </xf>
    <xf numFmtId="0" fontId="2" fillId="0" borderId="17" xfId="0" applyFont="1" applyFill="1" applyBorder="1" applyAlignment="1">
      <alignment vertical="center"/>
    </xf>
    <xf numFmtId="9" fontId="2" fillId="0" borderId="9" xfId="2" applyNumberFormat="1" applyFont="1" applyFill="1" applyBorder="1" applyAlignment="1">
      <alignment vertical="center"/>
    </xf>
    <xf numFmtId="168" fontId="2" fillId="0" borderId="0" xfId="2" applyNumberFormat="1" applyFont="1" applyFill="1" applyBorder="1" applyAlignment="1">
      <alignment vertical="center"/>
    </xf>
    <xf numFmtId="174" fontId="2" fillId="0" borderId="18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center"/>
    </xf>
    <xf numFmtId="2" fontId="3" fillId="0" borderId="8" xfId="0" applyNumberFormat="1" applyFont="1" applyFill="1" applyBorder="1" applyAlignment="1">
      <alignment vertical="center"/>
    </xf>
    <xf numFmtId="168" fontId="2" fillId="0" borderId="68" xfId="6" applyNumberFormat="1" applyFont="1" applyFill="1" applyBorder="1" applyAlignment="1">
      <alignment horizontal="center"/>
    </xf>
    <xf numFmtId="0" fontId="2" fillId="0" borderId="51" xfId="5" applyFont="1" applyFill="1" applyBorder="1"/>
    <xf numFmtId="0" fontId="2" fillId="0" borderId="25" xfId="5" applyFont="1" applyFill="1" applyBorder="1"/>
    <xf numFmtId="0" fontId="2" fillId="0" borderId="18" xfId="5" applyFont="1" applyFill="1" applyBorder="1" applyAlignment="1">
      <alignment horizontal="left"/>
    </xf>
    <xf numFmtId="164" fontId="2" fillId="0" borderId="41" xfId="5" applyNumberFormat="1" applyFont="1" applyFill="1" applyBorder="1"/>
    <xf numFmtId="164" fontId="2" fillId="0" borderId="18" xfId="5" applyNumberFormat="1" applyFont="1" applyFill="1" applyBorder="1"/>
    <xf numFmtId="170" fontId="2" fillId="0" borderId="37" xfId="8" applyNumberFormat="1" applyFont="1" applyFill="1" applyBorder="1" applyAlignment="1">
      <alignment horizontal="center"/>
    </xf>
    <xf numFmtId="170" fontId="2" fillId="0" borderId="39" xfId="8" applyNumberFormat="1" applyFont="1" applyFill="1" applyBorder="1" applyAlignment="1">
      <alignment horizontal="center"/>
    </xf>
    <xf numFmtId="170" fontId="2" fillId="0" borderId="19" xfId="8" applyNumberFormat="1" applyFont="1" applyFill="1" applyBorder="1" applyAlignment="1">
      <alignment horizontal="center"/>
    </xf>
    <xf numFmtId="170" fontId="2" fillId="0" borderId="33" xfId="8" applyNumberFormat="1" applyFont="1" applyFill="1" applyBorder="1"/>
    <xf numFmtId="0" fontId="3" fillId="0" borderId="1" xfId="3" applyFont="1" applyFill="1" applyBorder="1"/>
    <xf numFmtId="0" fontId="3" fillId="0" borderId="5" xfId="3" applyFont="1" applyFill="1" applyBorder="1"/>
    <xf numFmtId="0" fontId="3" fillId="0" borderId="2" xfId="3" applyFont="1" applyFill="1" applyBorder="1"/>
    <xf numFmtId="0" fontId="3" fillId="0" borderId="3" xfId="3" applyFont="1" applyFill="1" applyBorder="1"/>
    <xf numFmtId="0" fontId="3" fillId="0" borderId="17" xfId="3" applyFont="1" applyFill="1" applyBorder="1"/>
    <xf numFmtId="0" fontId="3" fillId="0" borderId="20" xfId="3" applyFont="1" applyFill="1" applyBorder="1"/>
    <xf numFmtId="0" fontId="3" fillId="0" borderId="18" xfId="3" applyFont="1" applyFill="1" applyBorder="1"/>
    <xf numFmtId="0" fontId="3" fillId="0" borderId="20" xfId="3" applyFont="1" applyFill="1" applyBorder="1" applyAlignment="1">
      <alignment horizontal="center"/>
    </xf>
    <xf numFmtId="0" fontId="3" fillId="0" borderId="10" xfId="3" applyFont="1" applyFill="1" applyBorder="1"/>
    <xf numFmtId="0" fontId="3" fillId="0" borderId="14" xfId="3" applyFont="1" applyFill="1" applyBorder="1"/>
    <xf numFmtId="0" fontId="3" fillId="0" borderId="11" xfId="3" applyFont="1" applyFill="1" applyBorder="1" applyAlignment="1">
      <alignment horizontal="center"/>
    </xf>
    <xf numFmtId="0" fontId="3" fillId="0" borderId="12" xfId="3" applyFont="1" applyFill="1" applyBorder="1" applyAlignment="1">
      <alignment horizontal="center"/>
    </xf>
    <xf numFmtId="0" fontId="3" fillId="0" borderId="14" xfId="3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8" xfId="0" applyFont="1" applyFill="1" applyBorder="1"/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" fillId="0" borderId="20" xfId="0" applyFont="1" applyFill="1" applyBorder="1"/>
    <xf numFmtId="0" fontId="17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19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10" fontId="2" fillId="0" borderId="20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43" xfId="0" applyNumberFormat="1" applyFont="1" applyFill="1" applyBorder="1" applyAlignment="1">
      <alignment horizontal="center" vertical="center"/>
    </xf>
    <xf numFmtId="171" fontId="2" fillId="0" borderId="34" xfId="0" applyNumberFormat="1" applyFont="1" applyFill="1" applyBorder="1" applyAlignment="1">
      <alignment horizontal="center" vertical="center"/>
    </xf>
    <xf numFmtId="164" fontId="2" fillId="0" borderId="51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9" fontId="0" fillId="0" borderId="7" xfId="2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2" fontId="0" fillId="2" borderId="0" xfId="0" applyNumberFormat="1" applyFill="1" applyBorder="1" applyAlignment="1">
      <alignment vertical="center"/>
    </xf>
    <xf numFmtId="2" fontId="0" fillId="2" borderId="9" xfId="0" applyNumberForma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vertical="center"/>
    </xf>
    <xf numFmtId="1" fontId="2" fillId="2" borderId="33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vertical="center"/>
    </xf>
    <xf numFmtId="1" fontId="2" fillId="2" borderId="34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69" fontId="2" fillId="2" borderId="0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16" xfId="5" applyFont="1" applyFill="1" applyBorder="1" applyAlignment="1">
      <alignment horizontal="center"/>
    </xf>
    <xf numFmtId="0" fontId="3" fillId="0" borderId="30" xfId="5" applyFont="1" applyFill="1" applyBorder="1" applyAlignment="1">
      <alignment horizontal="center"/>
    </xf>
    <xf numFmtId="0" fontId="3" fillId="0" borderId="56" xfId="5" applyFont="1" applyFill="1" applyBorder="1" applyAlignment="1">
      <alignment horizontal="center"/>
    </xf>
    <xf numFmtId="0" fontId="3" fillId="0" borderId="45" xfId="5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2" fillId="0" borderId="0" xfId="3" applyFill="1" applyBorder="1" applyAlignment="1">
      <alignment horizontal="center"/>
    </xf>
    <xf numFmtId="0" fontId="3" fillId="0" borderId="4" xfId="5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6" xfId="5" applyFont="1" applyFill="1" applyBorder="1" applyAlignment="1">
      <alignment horizontal="center"/>
    </xf>
    <xf numFmtId="0" fontId="3" fillId="0" borderId="7" xfId="5" applyFont="1" applyFill="1" applyBorder="1" applyAlignment="1">
      <alignment horizontal="center"/>
    </xf>
    <xf numFmtId="0" fontId="3" fillId="0" borderId="8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4" xfId="5" applyFont="1" applyFill="1" applyBorder="1" applyAlignment="1">
      <alignment horizontal="center"/>
    </xf>
    <xf numFmtId="0" fontId="3" fillId="0" borderId="13" xfId="5" applyFont="1" applyFill="1" applyBorder="1" applyAlignment="1">
      <alignment horizontal="center"/>
    </xf>
    <xf numFmtId="0" fontId="3" fillId="0" borderId="3" xfId="5" applyFont="1" applyFill="1" applyBorder="1" applyAlignment="1">
      <alignment horizontal="center"/>
    </xf>
    <xf numFmtId="0" fontId="3" fillId="0" borderId="12" xfId="5" applyFont="1" applyFill="1" applyBorder="1" applyAlignment="1">
      <alignment horizontal="center"/>
    </xf>
    <xf numFmtId="0" fontId="3" fillId="0" borderId="48" xfId="5" applyFont="1" applyFill="1" applyBorder="1" applyAlignment="1">
      <alignment horizontal="center"/>
    </xf>
    <xf numFmtId="0" fontId="3" fillId="0" borderId="44" xfId="5" applyFont="1" applyFill="1" applyBorder="1" applyAlignment="1">
      <alignment horizontal="center"/>
    </xf>
    <xf numFmtId="0" fontId="3" fillId="0" borderId="5" xfId="5" applyFont="1" applyFill="1" applyBorder="1" applyAlignment="1">
      <alignment horizontal="center"/>
    </xf>
    <xf numFmtId="0" fontId="3" fillId="0" borderId="14" xfId="5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9">
    <cellStyle name="Comma" xfId="1" builtinId="3"/>
    <cellStyle name="Comma 2" xfId="8"/>
    <cellStyle name="Currency 2" xfId="4"/>
    <cellStyle name="Currency 3" xfId="7"/>
    <cellStyle name="Normal" xfId="0" builtinId="0"/>
    <cellStyle name="Normal 2" xfId="3"/>
    <cellStyle name="Normal 3" xfId="5"/>
    <cellStyle name="Percent" xfId="2" builtin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cuments\VML\Compliance\2016\Emissions%20Summary\Solvent%20Energy%20and%20Paint%20-%202015%20Emis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2015 EMISSIONS"/>
    </sheetNames>
    <sheetDataSet>
      <sheetData sheetId="0">
        <row r="7">
          <cell r="BA7">
            <v>2414</v>
          </cell>
        </row>
        <row r="54">
          <cell r="BA54">
            <v>0.82873250000000009</v>
          </cell>
        </row>
        <row r="55">
          <cell r="BA55">
            <v>1.1352500000000002E-3</v>
          </cell>
        </row>
        <row r="56">
          <cell r="BA56">
            <v>16.808435499999998</v>
          </cell>
        </row>
        <row r="57">
          <cell r="BA57">
            <v>56.77712600000001</v>
          </cell>
        </row>
        <row r="58">
          <cell r="BA58">
            <v>78.446442250000018</v>
          </cell>
        </row>
        <row r="60">
          <cell r="BA60">
            <v>0</v>
          </cell>
        </row>
        <row r="61">
          <cell r="BA61">
            <v>0</v>
          </cell>
        </row>
        <row r="62">
          <cell r="BA62">
            <v>0</v>
          </cell>
        </row>
        <row r="63">
          <cell r="BA63">
            <v>0.45400000000000001</v>
          </cell>
        </row>
        <row r="64">
          <cell r="BA64">
            <v>0</v>
          </cell>
        </row>
        <row r="65">
          <cell r="BA65">
            <v>35215.438899205707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opLeftCell="F1" zoomScaleNormal="100" workbookViewId="0">
      <selection activeCell="F18" sqref="F18"/>
    </sheetView>
  </sheetViews>
  <sheetFormatPr defaultColWidth="11.42578125" defaultRowHeight="12.75" x14ac:dyDescent="0.2"/>
  <cols>
    <col min="1" max="1" width="10.85546875" customWidth="1"/>
  </cols>
  <sheetData>
    <row r="1" spans="1:22" ht="15.75" x14ac:dyDescent="0.25">
      <c r="A1" s="157" t="s">
        <v>568</v>
      </c>
    </row>
    <row r="2" spans="1:22" ht="13.5" thickBot="1" x14ac:dyDescent="0.25"/>
    <row r="3" spans="1:22" x14ac:dyDescent="0.2">
      <c r="A3" s="10"/>
      <c r="B3" s="10" t="s">
        <v>20</v>
      </c>
      <c r="C3" s="10" t="s">
        <v>22</v>
      </c>
      <c r="D3" s="55" t="s">
        <v>24</v>
      </c>
      <c r="E3" s="55" t="s">
        <v>347</v>
      </c>
      <c r="F3" s="10" t="s">
        <v>21</v>
      </c>
      <c r="G3" s="55" t="s">
        <v>23</v>
      </c>
      <c r="H3" s="55" t="s">
        <v>25</v>
      </c>
      <c r="I3" s="55" t="s">
        <v>26</v>
      </c>
      <c r="J3" s="55" t="s">
        <v>27</v>
      </c>
      <c r="K3" s="55" t="s">
        <v>28</v>
      </c>
      <c r="L3" s="10" t="s">
        <v>29</v>
      </c>
      <c r="M3" s="10" t="s">
        <v>30</v>
      </c>
      <c r="N3" s="10" t="s">
        <v>69</v>
      </c>
      <c r="O3" s="55" t="s">
        <v>31</v>
      </c>
      <c r="P3" s="10" t="s">
        <v>417</v>
      </c>
      <c r="Q3" s="148" t="s">
        <v>34</v>
      </c>
      <c r="R3" s="10" t="s">
        <v>346</v>
      </c>
      <c r="S3" s="79" t="s">
        <v>36</v>
      </c>
      <c r="T3" s="55" t="s">
        <v>32</v>
      </c>
      <c r="U3" s="154" t="s">
        <v>430</v>
      </c>
      <c r="V3" s="154" t="s">
        <v>171</v>
      </c>
    </row>
    <row r="4" spans="1:22" ht="39" thickBot="1" x14ac:dyDescent="0.25">
      <c r="A4" s="28"/>
      <c r="B4" s="56" t="s">
        <v>41</v>
      </c>
      <c r="C4" s="56" t="s">
        <v>43</v>
      </c>
      <c r="D4" s="57" t="s">
        <v>45</v>
      </c>
      <c r="E4" s="57" t="s">
        <v>419</v>
      </c>
      <c r="F4" s="56" t="s">
        <v>42</v>
      </c>
      <c r="G4" s="57" t="s">
        <v>44</v>
      </c>
      <c r="H4" s="57" t="s">
        <v>268</v>
      </c>
      <c r="I4" s="57" t="s">
        <v>46</v>
      </c>
      <c r="J4" s="57" t="s">
        <v>47</v>
      </c>
      <c r="K4" s="57" t="s">
        <v>48</v>
      </c>
      <c r="L4" s="56" t="s">
        <v>49</v>
      </c>
      <c r="M4" s="56" t="s">
        <v>50</v>
      </c>
      <c r="N4" s="56" t="s">
        <v>258</v>
      </c>
      <c r="O4" s="57" t="s">
        <v>51</v>
      </c>
      <c r="P4" s="56" t="s">
        <v>53</v>
      </c>
      <c r="Q4" s="158" t="s">
        <v>54</v>
      </c>
      <c r="R4" s="56" t="s">
        <v>621</v>
      </c>
      <c r="S4" s="58" t="s">
        <v>56</v>
      </c>
      <c r="T4" s="57" t="s">
        <v>52</v>
      </c>
      <c r="U4" s="56" t="s">
        <v>429</v>
      </c>
      <c r="V4" s="56" t="s">
        <v>226</v>
      </c>
    </row>
    <row r="5" spans="1:22" x14ac:dyDescent="0.2">
      <c r="A5" s="28"/>
      <c r="B5" s="59"/>
      <c r="C5" s="59"/>
      <c r="D5" s="59"/>
      <c r="E5" s="59"/>
      <c r="F5" s="28"/>
      <c r="G5" s="11"/>
      <c r="H5" s="34"/>
      <c r="I5" s="34"/>
      <c r="J5" s="59"/>
      <c r="K5" s="11"/>
      <c r="L5" s="28"/>
      <c r="M5" s="11" t="s">
        <v>61</v>
      </c>
      <c r="N5" s="11" t="s">
        <v>61</v>
      </c>
      <c r="O5" s="59"/>
      <c r="P5" s="10">
        <v>2024</v>
      </c>
      <c r="Q5" s="33"/>
      <c r="R5" s="28"/>
      <c r="S5" s="28"/>
      <c r="T5" s="59"/>
      <c r="U5" s="149"/>
      <c r="V5" s="149"/>
    </row>
    <row r="6" spans="1:22" ht="13.5" thickBot="1" x14ac:dyDescent="0.25">
      <c r="A6" s="60" t="s">
        <v>66</v>
      </c>
      <c r="B6" s="59" t="s">
        <v>67</v>
      </c>
      <c r="C6" s="59" t="s">
        <v>67</v>
      </c>
      <c r="D6" s="59" t="s">
        <v>67</v>
      </c>
      <c r="E6" s="59"/>
      <c r="F6" s="28" t="s">
        <v>67</v>
      </c>
      <c r="G6" s="34" t="s">
        <v>67</v>
      </c>
      <c r="H6" s="34" t="s">
        <v>67</v>
      </c>
      <c r="I6" s="34" t="s">
        <v>67</v>
      </c>
      <c r="J6" s="59" t="s">
        <v>67</v>
      </c>
      <c r="K6" s="34" t="s">
        <v>67</v>
      </c>
      <c r="L6" s="28" t="s">
        <v>67</v>
      </c>
      <c r="M6" s="13" t="s">
        <v>67</v>
      </c>
      <c r="N6" s="13" t="s">
        <v>67</v>
      </c>
      <c r="O6" s="59" t="s">
        <v>67</v>
      </c>
      <c r="P6" s="28" t="s">
        <v>67</v>
      </c>
      <c r="Q6" s="35" t="s">
        <v>67</v>
      </c>
      <c r="R6" s="12" t="s">
        <v>67</v>
      </c>
      <c r="S6" s="12" t="s">
        <v>67</v>
      </c>
      <c r="T6" s="88" t="s">
        <v>67</v>
      </c>
      <c r="U6" s="12" t="s">
        <v>67</v>
      </c>
      <c r="V6" s="12" t="s">
        <v>67</v>
      </c>
    </row>
    <row r="7" spans="1:22" ht="13.5" thickBot="1" x14ac:dyDescent="0.25">
      <c r="A7" s="15"/>
      <c r="B7" s="78" t="s">
        <v>70</v>
      </c>
      <c r="C7" s="78" t="s">
        <v>348</v>
      </c>
      <c r="D7" s="78" t="s">
        <v>349</v>
      </c>
      <c r="E7" s="78" t="s">
        <v>350</v>
      </c>
      <c r="F7" s="61" t="s">
        <v>42</v>
      </c>
      <c r="G7" s="62" t="s">
        <v>44</v>
      </c>
      <c r="H7" s="62" t="s">
        <v>71</v>
      </c>
      <c r="I7" s="62" t="s">
        <v>72</v>
      </c>
      <c r="J7" s="78" t="s">
        <v>73</v>
      </c>
      <c r="K7" s="62" t="s">
        <v>68</v>
      </c>
      <c r="L7" s="61" t="s">
        <v>74</v>
      </c>
      <c r="M7" s="62" t="s">
        <v>75</v>
      </c>
      <c r="N7" s="62" t="s">
        <v>75</v>
      </c>
      <c r="O7" s="78" t="s">
        <v>76</v>
      </c>
      <c r="P7" s="61" t="s">
        <v>77</v>
      </c>
      <c r="Q7" s="35" t="s">
        <v>54</v>
      </c>
      <c r="R7" s="61" t="s">
        <v>351</v>
      </c>
      <c r="S7" s="61" t="s">
        <v>431</v>
      </c>
      <c r="T7" s="85" t="s">
        <v>265</v>
      </c>
      <c r="U7" s="150"/>
      <c r="V7" s="150"/>
    </row>
    <row r="8" spans="1:22" ht="13.5" thickBot="1" x14ac:dyDescent="0.25">
      <c r="A8" s="15" t="s">
        <v>78</v>
      </c>
      <c r="B8" s="78">
        <v>164</v>
      </c>
      <c r="C8" s="78">
        <v>195</v>
      </c>
      <c r="D8" s="78">
        <v>190</v>
      </c>
      <c r="E8" s="78">
        <v>310</v>
      </c>
      <c r="F8" s="61">
        <v>165</v>
      </c>
      <c r="G8" s="62">
        <v>195</v>
      </c>
      <c r="H8" s="62">
        <v>179</v>
      </c>
      <c r="I8" s="78">
        <v>142</v>
      </c>
      <c r="J8" s="78">
        <v>166</v>
      </c>
      <c r="K8" s="62">
        <v>164</v>
      </c>
      <c r="L8" s="61">
        <v>178</v>
      </c>
      <c r="M8" s="62">
        <v>161</v>
      </c>
      <c r="N8" s="62">
        <v>156</v>
      </c>
      <c r="O8" s="78">
        <v>178</v>
      </c>
      <c r="P8" s="61">
        <v>143</v>
      </c>
      <c r="Q8" s="63">
        <v>165</v>
      </c>
      <c r="R8" s="61">
        <v>22</v>
      </c>
      <c r="S8" s="61">
        <v>182</v>
      </c>
      <c r="T8" s="85">
        <v>155</v>
      </c>
      <c r="U8" s="155">
        <v>25</v>
      </c>
      <c r="V8" s="155">
        <v>195</v>
      </c>
    </row>
    <row r="9" spans="1:22" x14ac:dyDescent="0.2">
      <c r="A9" s="84" t="s">
        <v>80</v>
      </c>
      <c r="B9" s="64"/>
      <c r="C9" s="64"/>
      <c r="D9" s="64"/>
      <c r="E9" s="64"/>
      <c r="F9" s="65"/>
      <c r="G9" s="39"/>
      <c r="H9" s="66"/>
      <c r="I9" s="65"/>
      <c r="J9" s="65"/>
      <c r="K9" s="67"/>
      <c r="L9" s="68"/>
      <c r="M9" s="67"/>
      <c r="N9" s="67"/>
      <c r="O9" s="65"/>
      <c r="P9" s="69"/>
      <c r="Q9" s="33">
        <v>3</v>
      </c>
      <c r="R9" s="28"/>
      <c r="S9" s="28"/>
      <c r="T9" s="59">
        <v>4</v>
      </c>
      <c r="U9" s="151"/>
      <c r="V9" s="151"/>
    </row>
    <row r="10" spans="1:22" x14ac:dyDescent="0.2">
      <c r="A10" s="84" t="s">
        <v>81</v>
      </c>
      <c r="B10" s="65"/>
      <c r="C10" s="65"/>
      <c r="D10" s="65"/>
      <c r="E10" s="65"/>
      <c r="F10" s="65"/>
      <c r="G10" s="39"/>
      <c r="H10" s="67"/>
      <c r="I10" s="65"/>
      <c r="J10" s="65"/>
      <c r="K10" s="67"/>
      <c r="L10" s="68"/>
      <c r="M10" s="67"/>
      <c r="N10" s="67"/>
      <c r="O10" s="70"/>
      <c r="P10" s="71">
        <v>2</v>
      </c>
      <c r="Q10" s="40">
        <v>3</v>
      </c>
      <c r="R10" s="72"/>
      <c r="S10" s="72"/>
      <c r="T10" s="70"/>
      <c r="U10" s="152"/>
      <c r="V10" s="152"/>
    </row>
    <row r="11" spans="1:22" x14ac:dyDescent="0.2">
      <c r="A11" s="84" t="s">
        <v>82</v>
      </c>
      <c r="B11" s="65">
        <v>4</v>
      </c>
      <c r="C11" s="65"/>
      <c r="D11" s="65"/>
      <c r="E11" s="65"/>
      <c r="F11" s="65">
        <v>3</v>
      </c>
      <c r="G11" s="39"/>
      <c r="H11" s="67"/>
      <c r="I11" s="65"/>
      <c r="J11" s="65"/>
      <c r="K11" s="67"/>
      <c r="L11" s="68"/>
      <c r="M11" s="67"/>
      <c r="N11" s="67">
        <v>2</v>
      </c>
      <c r="O11" s="70"/>
      <c r="P11" s="71"/>
      <c r="Q11" s="40">
        <v>3</v>
      </c>
      <c r="R11" s="72"/>
      <c r="S11" s="72"/>
      <c r="T11" s="70">
        <v>3</v>
      </c>
      <c r="U11" s="152"/>
      <c r="V11" s="152"/>
    </row>
    <row r="12" spans="1:22" x14ac:dyDescent="0.2">
      <c r="A12" s="84" t="s">
        <v>84</v>
      </c>
      <c r="B12" s="65"/>
      <c r="C12" s="65"/>
      <c r="D12" s="65"/>
      <c r="E12" s="65"/>
      <c r="F12" s="65"/>
      <c r="G12" s="39"/>
      <c r="H12" s="67"/>
      <c r="I12" s="65"/>
      <c r="J12" s="65"/>
      <c r="K12" s="67"/>
      <c r="L12" s="68"/>
      <c r="M12" s="67"/>
      <c r="N12" s="67"/>
      <c r="O12" s="70"/>
      <c r="P12" s="71"/>
      <c r="Q12" s="40"/>
      <c r="R12" s="72"/>
      <c r="S12" s="72"/>
      <c r="T12" s="70"/>
      <c r="U12" s="152"/>
      <c r="V12" s="152"/>
    </row>
    <row r="13" spans="1:22" x14ac:dyDescent="0.2">
      <c r="A13" s="84" t="s">
        <v>86</v>
      </c>
      <c r="B13" s="65">
        <v>2</v>
      </c>
      <c r="C13" s="65"/>
      <c r="D13" s="65"/>
      <c r="E13" s="65"/>
      <c r="F13" s="65">
        <v>2</v>
      </c>
      <c r="G13" s="39"/>
      <c r="H13" s="67"/>
      <c r="I13" s="65"/>
      <c r="J13" s="65"/>
      <c r="K13" s="67"/>
      <c r="L13" s="68"/>
      <c r="M13" s="67"/>
      <c r="N13" s="67"/>
      <c r="O13" s="70">
        <v>1</v>
      </c>
      <c r="P13" s="71">
        <v>1</v>
      </c>
      <c r="Q13" s="40">
        <v>2</v>
      </c>
      <c r="R13" s="72"/>
      <c r="S13" s="72"/>
      <c r="T13" s="70"/>
      <c r="U13" s="152"/>
      <c r="V13" s="152"/>
    </row>
    <row r="14" spans="1:22" x14ac:dyDescent="0.2">
      <c r="A14" s="84" t="s">
        <v>88</v>
      </c>
      <c r="B14" s="65">
        <v>2</v>
      </c>
      <c r="C14" s="65"/>
      <c r="D14" s="65"/>
      <c r="E14" s="65"/>
      <c r="F14" s="65"/>
      <c r="G14" s="39"/>
      <c r="H14" s="67"/>
      <c r="I14" s="65"/>
      <c r="J14" s="65"/>
      <c r="K14" s="67"/>
      <c r="L14" s="68"/>
      <c r="M14" s="67"/>
      <c r="N14" s="67"/>
      <c r="O14" s="70">
        <v>2</v>
      </c>
      <c r="P14" s="71">
        <v>2</v>
      </c>
      <c r="Q14" s="40">
        <v>2</v>
      </c>
      <c r="R14" s="72"/>
      <c r="S14" s="72"/>
      <c r="T14" s="70">
        <v>3</v>
      </c>
      <c r="U14" s="152"/>
      <c r="V14" s="152"/>
    </row>
    <row r="15" spans="1:22" x14ac:dyDescent="0.2">
      <c r="A15" s="84" t="s">
        <v>89</v>
      </c>
      <c r="B15" s="65"/>
      <c r="C15" s="65"/>
      <c r="D15" s="65"/>
      <c r="E15" s="65"/>
      <c r="F15" s="65">
        <v>2</v>
      </c>
      <c r="G15" s="39"/>
      <c r="H15" s="67"/>
      <c r="I15" s="65"/>
      <c r="J15" s="65"/>
      <c r="K15" s="67"/>
      <c r="L15" s="68"/>
      <c r="M15" s="67"/>
      <c r="N15" s="67"/>
      <c r="O15" s="70"/>
      <c r="P15" s="71"/>
      <c r="Q15" s="40">
        <v>2</v>
      </c>
      <c r="R15" s="72"/>
      <c r="S15" s="72"/>
      <c r="T15" s="70">
        <v>2</v>
      </c>
      <c r="U15" s="152"/>
      <c r="V15" s="152"/>
    </row>
    <row r="16" spans="1:22" x14ac:dyDescent="0.2">
      <c r="A16" s="84" t="s">
        <v>91</v>
      </c>
      <c r="B16" s="65">
        <v>2</v>
      </c>
      <c r="C16" s="65">
        <v>1</v>
      </c>
      <c r="D16" s="65"/>
      <c r="E16" s="65"/>
      <c r="F16" s="65">
        <v>3</v>
      </c>
      <c r="G16" s="39"/>
      <c r="H16" s="67"/>
      <c r="I16" s="65"/>
      <c r="J16" s="65"/>
      <c r="K16" s="67"/>
      <c r="L16" s="68"/>
      <c r="M16" s="67"/>
      <c r="N16" s="67"/>
      <c r="O16" s="70"/>
      <c r="P16" s="71"/>
      <c r="Q16" s="40"/>
      <c r="R16" s="72"/>
      <c r="S16" s="72">
        <v>1</v>
      </c>
      <c r="T16" s="70"/>
      <c r="U16" s="152"/>
      <c r="V16" s="152"/>
    </row>
    <row r="17" spans="1:28" x14ac:dyDescent="0.2">
      <c r="A17" s="84" t="s">
        <v>95</v>
      </c>
      <c r="B17" s="65">
        <v>2</v>
      </c>
      <c r="C17" s="65"/>
      <c r="D17" s="65"/>
      <c r="E17" s="65"/>
      <c r="F17" s="65"/>
      <c r="G17" s="39"/>
      <c r="H17" s="67"/>
      <c r="I17" s="65"/>
      <c r="J17" s="65"/>
      <c r="K17" s="67"/>
      <c r="L17" s="68"/>
      <c r="M17" s="67"/>
      <c r="N17" s="67"/>
      <c r="O17" s="70"/>
      <c r="P17" s="71"/>
      <c r="Q17" s="40">
        <v>2</v>
      </c>
      <c r="R17" s="72"/>
      <c r="S17" s="72"/>
      <c r="T17" s="70">
        <v>2</v>
      </c>
      <c r="U17" s="152"/>
      <c r="V17" s="152"/>
    </row>
    <row r="18" spans="1:28" x14ac:dyDescent="0.2">
      <c r="A18" s="84" t="s">
        <v>98</v>
      </c>
      <c r="B18" s="65">
        <v>2</v>
      </c>
      <c r="C18" s="65"/>
      <c r="D18" s="65"/>
      <c r="E18" s="65"/>
      <c r="F18" s="65">
        <v>2</v>
      </c>
      <c r="G18" s="39"/>
      <c r="H18" s="67"/>
      <c r="I18" s="65"/>
      <c r="J18" s="65"/>
      <c r="K18" s="67"/>
      <c r="L18" s="68"/>
      <c r="M18" s="67"/>
      <c r="N18" s="67"/>
      <c r="O18" s="70"/>
      <c r="P18" s="71"/>
      <c r="Q18" s="40">
        <v>2</v>
      </c>
      <c r="R18" s="72"/>
      <c r="S18" s="72"/>
      <c r="T18" s="70">
        <v>2</v>
      </c>
      <c r="U18" s="156"/>
      <c r="V18" s="156"/>
    </row>
    <row r="19" spans="1:28" x14ac:dyDescent="0.2">
      <c r="A19" s="84" t="s">
        <v>100</v>
      </c>
      <c r="B19" s="65">
        <v>2</v>
      </c>
      <c r="C19" s="65"/>
      <c r="D19" s="65"/>
      <c r="E19" s="65"/>
      <c r="F19" s="65"/>
      <c r="G19" s="39"/>
      <c r="H19" s="67"/>
      <c r="I19" s="65"/>
      <c r="J19" s="65"/>
      <c r="K19" s="67"/>
      <c r="L19" s="68"/>
      <c r="M19" s="67"/>
      <c r="N19" s="67"/>
      <c r="O19" s="70"/>
      <c r="P19" s="71">
        <v>2</v>
      </c>
      <c r="Q19" s="40">
        <v>2</v>
      </c>
      <c r="R19" s="72"/>
      <c r="S19" s="72"/>
      <c r="T19" s="70">
        <v>2</v>
      </c>
      <c r="U19" s="152"/>
      <c r="V19" s="152"/>
    </row>
    <row r="20" spans="1:28" ht="13.5" thickBot="1" x14ac:dyDescent="0.25">
      <c r="A20" s="84" t="s">
        <v>104</v>
      </c>
      <c r="B20" s="70"/>
      <c r="C20" s="70"/>
      <c r="D20" s="70"/>
      <c r="E20" s="70"/>
      <c r="F20" s="70"/>
      <c r="G20" s="39"/>
      <c r="H20" s="39"/>
      <c r="I20" s="70"/>
      <c r="J20" s="70"/>
      <c r="K20" s="39"/>
      <c r="L20" s="72"/>
      <c r="M20" s="39"/>
      <c r="N20" s="39"/>
      <c r="O20" s="70">
        <v>3</v>
      </c>
      <c r="P20" s="71"/>
      <c r="Q20" s="40">
        <v>2</v>
      </c>
      <c r="R20" s="72"/>
      <c r="S20" s="72"/>
      <c r="T20" s="70"/>
      <c r="U20" s="153"/>
      <c r="V20" s="153"/>
    </row>
    <row r="21" spans="1:28" ht="13.5" thickBot="1" x14ac:dyDescent="0.25">
      <c r="A21" s="77" t="s">
        <v>216</v>
      </c>
      <c r="B21" s="78">
        <f t="shared" ref="B21:T21" si="0">SUM(B9:B20)</f>
        <v>16</v>
      </c>
      <c r="C21" s="78">
        <f t="shared" si="0"/>
        <v>1</v>
      </c>
      <c r="D21" s="78">
        <f t="shared" si="0"/>
        <v>0</v>
      </c>
      <c r="E21" s="78">
        <f t="shared" si="0"/>
        <v>0</v>
      </c>
      <c r="F21" s="78">
        <f t="shared" si="0"/>
        <v>12</v>
      </c>
      <c r="G21" s="62">
        <f t="shared" si="0"/>
        <v>0</v>
      </c>
      <c r="H21" s="78">
        <f t="shared" si="0"/>
        <v>0</v>
      </c>
      <c r="I21" s="78">
        <f t="shared" si="0"/>
        <v>0</v>
      </c>
      <c r="J21" s="78">
        <f t="shared" si="0"/>
        <v>0</v>
      </c>
      <c r="K21" s="62">
        <f t="shared" si="0"/>
        <v>0</v>
      </c>
      <c r="L21" s="61">
        <f t="shared" si="0"/>
        <v>0</v>
      </c>
      <c r="M21" s="62">
        <f t="shared" si="0"/>
        <v>0</v>
      </c>
      <c r="N21" s="62">
        <f t="shared" si="0"/>
        <v>2</v>
      </c>
      <c r="O21" s="78">
        <f t="shared" si="0"/>
        <v>6</v>
      </c>
      <c r="P21" s="73">
        <f t="shared" si="0"/>
        <v>7</v>
      </c>
      <c r="Q21" s="80">
        <f t="shared" si="0"/>
        <v>23</v>
      </c>
      <c r="R21" s="61">
        <f t="shared" si="0"/>
        <v>0</v>
      </c>
      <c r="S21" s="61">
        <f t="shared" si="0"/>
        <v>1</v>
      </c>
      <c r="T21" s="85">
        <f t="shared" si="0"/>
        <v>18</v>
      </c>
      <c r="U21" s="61">
        <f t="shared" ref="U21:V21" si="1">SUM(U9:U20)</f>
        <v>0</v>
      </c>
      <c r="V21" s="61">
        <f t="shared" si="1"/>
        <v>0</v>
      </c>
    </row>
    <row r="22" spans="1:28" ht="13.5" thickBot="1" x14ac:dyDescent="0.25">
      <c r="A22" s="77" t="s">
        <v>107</v>
      </c>
      <c r="B22" s="670">
        <f>B21*B8</f>
        <v>2624</v>
      </c>
      <c r="C22" s="670">
        <f>C21*C8</f>
        <v>195</v>
      </c>
      <c r="D22" s="670">
        <f>D21*D8</f>
        <v>0</v>
      </c>
      <c r="E22" s="670">
        <f>E21*E8</f>
        <v>0</v>
      </c>
      <c r="F22" s="673">
        <f t="shared" ref="F22:T22" si="2">F21*F8</f>
        <v>1980</v>
      </c>
      <c r="G22" s="670">
        <f t="shared" si="2"/>
        <v>0</v>
      </c>
      <c r="H22" s="670">
        <f t="shared" si="2"/>
        <v>0</v>
      </c>
      <c r="I22" s="670">
        <f t="shared" si="2"/>
        <v>0</v>
      </c>
      <c r="J22" s="670">
        <f t="shared" si="2"/>
        <v>0</v>
      </c>
      <c r="K22" s="670">
        <f t="shared" si="2"/>
        <v>0</v>
      </c>
      <c r="L22" s="673">
        <f t="shared" si="2"/>
        <v>0</v>
      </c>
      <c r="M22" s="675">
        <f t="shared" si="2"/>
        <v>0</v>
      </c>
      <c r="N22" s="675">
        <f t="shared" si="2"/>
        <v>312</v>
      </c>
      <c r="O22" s="675">
        <f t="shared" si="2"/>
        <v>1068</v>
      </c>
      <c r="P22" s="677">
        <f t="shared" si="2"/>
        <v>1001</v>
      </c>
      <c r="Q22" s="678">
        <f t="shared" si="2"/>
        <v>3795</v>
      </c>
      <c r="R22" s="673">
        <f t="shared" si="2"/>
        <v>0</v>
      </c>
      <c r="S22" s="673">
        <f t="shared" si="2"/>
        <v>182</v>
      </c>
      <c r="T22" s="680">
        <f t="shared" si="2"/>
        <v>2790</v>
      </c>
      <c r="U22" s="673">
        <f t="shared" ref="U22:V22" si="3">U21*U8</f>
        <v>0</v>
      </c>
      <c r="V22" s="673">
        <f t="shared" si="3"/>
        <v>0</v>
      </c>
      <c r="W22" s="497"/>
      <c r="X22" s="497"/>
      <c r="Y22" s="497"/>
      <c r="Z22" s="497"/>
      <c r="AA22" s="497"/>
      <c r="AB22" s="497"/>
    </row>
    <row r="23" spans="1:28" ht="18.75" thickBot="1" x14ac:dyDescent="0.25">
      <c r="A23" s="163" t="s">
        <v>427</v>
      </c>
      <c r="B23" s="164"/>
      <c r="C23" s="164"/>
      <c r="D23" s="164"/>
      <c r="E23" s="164"/>
      <c r="F23" s="165">
        <f>SUM(B22:U22)</f>
        <v>13947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8" ht="18.75" thickBot="1" x14ac:dyDescent="0.3">
      <c r="A24" s="159" t="s">
        <v>432</v>
      </c>
      <c r="B24" s="160"/>
      <c r="C24" s="160"/>
      <c r="D24" s="160"/>
      <c r="E24" s="161"/>
      <c r="F24" s="162">
        <f>U22</f>
        <v>0</v>
      </c>
    </row>
  </sheetData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G43" zoomScaleNormal="100" workbookViewId="0">
      <selection activeCell="W57" sqref="W57"/>
    </sheetView>
  </sheetViews>
  <sheetFormatPr defaultColWidth="10.85546875" defaultRowHeight="12.75" x14ac:dyDescent="0.2"/>
  <cols>
    <col min="1" max="1" width="13.85546875" style="87" customWidth="1"/>
    <col min="2" max="3" width="10.85546875" style="87"/>
    <col min="4" max="4" width="13.7109375" style="87" bestFit="1" customWidth="1"/>
    <col min="5" max="18" width="10.85546875" style="87"/>
    <col min="19" max="19" width="11.5703125" style="87" customWidth="1"/>
    <col min="20" max="20" width="9.5703125" style="87" customWidth="1"/>
    <col min="21" max="16384" width="10.85546875" style="87"/>
  </cols>
  <sheetData>
    <row r="1" spans="1:19" ht="15.75" x14ac:dyDescent="0.25">
      <c r="A1" s="157" t="s">
        <v>568</v>
      </c>
    </row>
    <row r="2" spans="1:19" ht="13.5" thickBot="1" x14ac:dyDescent="0.25"/>
    <row r="3" spans="1:19" ht="13.5" thickBot="1" x14ac:dyDescent="0.25">
      <c r="A3" s="27" t="s">
        <v>117</v>
      </c>
      <c r="B3" s="692" t="s">
        <v>37</v>
      </c>
      <c r="C3" s="693"/>
      <c r="D3" s="693"/>
      <c r="E3" s="693"/>
      <c r="F3" s="693"/>
      <c r="G3" s="694"/>
      <c r="H3" s="698" t="s">
        <v>118</v>
      </c>
      <c r="I3" s="692" t="s">
        <v>119</v>
      </c>
      <c r="J3" s="700"/>
      <c r="K3" s="700"/>
      <c r="L3" s="700"/>
      <c r="M3" s="700"/>
      <c r="N3" s="700"/>
      <c r="O3" s="700"/>
      <c r="P3" s="700"/>
      <c r="Q3" s="700"/>
      <c r="R3" s="701"/>
      <c r="S3" s="698" t="s">
        <v>535</v>
      </c>
    </row>
    <row r="4" spans="1:19" ht="13.5" thickBot="1" x14ac:dyDescent="0.25">
      <c r="A4" s="166" t="s">
        <v>126</v>
      </c>
      <c r="B4" s="695"/>
      <c r="C4" s="696"/>
      <c r="D4" s="696"/>
      <c r="E4" s="696"/>
      <c r="F4" s="696"/>
      <c r="G4" s="697"/>
      <c r="H4" s="699"/>
      <c r="I4" s="695"/>
      <c r="J4" s="696"/>
      <c r="K4" s="696"/>
      <c r="L4" s="696"/>
      <c r="M4" s="696"/>
      <c r="N4" s="696"/>
      <c r="O4" s="696"/>
      <c r="P4" s="696"/>
      <c r="Q4" s="696"/>
      <c r="R4" s="697"/>
      <c r="S4" s="699"/>
    </row>
    <row r="5" spans="1:19" x14ac:dyDescent="0.2">
      <c r="A5" s="25" t="s">
        <v>135</v>
      </c>
      <c r="B5" s="29" t="s">
        <v>92</v>
      </c>
      <c r="C5" s="30" t="s">
        <v>259</v>
      </c>
      <c r="D5" s="30" t="s">
        <v>136</v>
      </c>
      <c r="E5" s="30" t="s">
        <v>137</v>
      </c>
      <c r="F5" s="30" t="s">
        <v>138</v>
      </c>
      <c r="G5" s="31" t="s">
        <v>139</v>
      </c>
      <c r="H5" s="482" t="s">
        <v>140</v>
      </c>
      <c r="I5" s="482" t="s">
        <v>141</v>
      </c>
      <c r="J5" s="483" t="s">
        <v>534</v>
      </c>
      <c r="K5" s="485" t="s">
        <v>434</v>
      </c>
      <c r="L5" s="579">
        <v>3090</v>
      </c>
      <c r="M5" s="580" t="s">
        <v>533</v>
      </c>
      <c r="N5" s="483" t="s">
        <v>315</v>
      </c>
      <c r="O5" s="484" t="s">
        <v>550</v>
      </c>
      <c r="P5" s="483">
        <v>3141</v>
      </c>
      <c r="Q5" s="483" t="s">
        <v>142</v>
      </c>
      <c r="R5" s="485">
        <v>7604</v>
      </c>
      <c r="S5" s="10" t="s">
        <v>536</v>
      </c>
    </row>
    <row r="6" spans="1:19" ht="13.5" thickBot="1" x14ac:dyDescent="0.25">
      <c r="A6" s="28"/>
      <c r="B6" s="33"/>
      <c r="C6" s="30" t="s">
        <v>260</v>
      </c>
      <c r="D6" s="30" t="s">
        <v>153</v>
      </c>
      <c r="E6" s="30" t="s">
        <v>154</v>
      </c>
      <c r="F6" s="30" t="s">
        <v>155</v>
      </c>
      <c r="G6" s="31" t="s">
        <v>156</v>
      </c>
      <c r="H6" s="34"/>
      <c r="I6" s="13" t="s">
        <v>352</v>
      </c>
      <c r="J6" s="35" t="s">
        <v>157</v>
      </c>
      <c r="K6" s="35" t="s">
        <v>353</v>
      </c>
      <c r="L6" s="567" t="s">
        <v>157</v>
      </c>
      <c r="M6" s="36" t="s">
        <v>157</v>
      </c>
      <c r="N6" s="35" t="s">
        <v>160</v>
      </c>
      <c r="O6" s="36" t="s">
        <v>160</v>
      </c>
      <c r="P6" s="35" t="s">
        <v>159</v>
      </c>
      <c r="Q6" s="35" t="s">
        <v>158</v>
      </c>
      <c r="R6" s="35" t="s">
        <v>264</v>
      </c>
      <c r="S6" s="12" t="s">
        <v>354</v>
      </c>
    </row>
    <row r="7" spans="1:19" ht="13.5" thickBot="1" x14ac:dyDescent="0.25">
      <c r="A7" s="61" t="s">
        <v>433</v>
      </c>
      <c r="B7" s="89">
        <v>198</v>
      </c>
      <c r="C7" s="89" t="s">
        <v>261</v>
      </c>
      <c r="D7" s="89">
        <v>3.78</v>
      </c>
      <c r="E7" s="89">
        <v>3.78</v>
      </c>
      <c r="F7" s="89">
        <v>3.78</v>
      </c>
      <c r="G7" s="83">
        <v>3.75</v>
      </c>
      <c r="H7" s="90">
        <v>208.19759999999999</v>
      </c>
      <c r="I7" s="90">
        <v>208.19759999999999</v>
      </c>
      <c r="J7" s="63">
        <v>18.899999999999999</v>
      </c>
      <c r="K7" s="63">
        <v>18.899999999999999</v>
      </c>
      <c r="L7" s="568">
        <v>208.2</v>
      </c>
      <c r="M7" s="89">
        <v>208.2</v>
      </c>
      <c r="N7" s="63">
        <v>208.2</v>
      </c>
      <c r="O7" s="89">
        <v>208.2</v>
      </c>
      <c r="P7" s="63">
        <v>18.899999999999999</v>
      </c>
      <c r="Q7" s="63">
        <v>18.899999999999999</v>
      </c>
      <c r="R7" s="63">
        <v>3.79</v>
      </c>
      <c r="S7" s="487">
        <v>208.2</v>
      </c>
    </row>
    <row r="8" spans="1:19" x14ac:dyDescent="0.2">
      <c r="A8" s="68" t="s">
        <v>80</v>
      </c>
      <c r="B8" s="564"/>
      <c r="C8" s="46"/>
      <c r="D8" s="46"/>
      <c r="E8" s="46"/>
      <c r="F8" s="46"/>
      <c r="G8" s="46"/>
      <c r="H8" s="91"/>
      <c r="I8" s="655"/>
      <c r="J8" s="656"/>
      <c r="K8" s="656"/>
      <c r="L8" s="657"/>
      <c r="M8" s="658"/>
      <c r="N8" s="656"/>
      <c r="O8" s="656"/>
      <c r="P8" s="656"/>
      <c r="Q8" s="656"/>
      <c r="R8" s="656"/>
      <c r="S8" s="571">
        <v>4</v>
      </c>
    </row>
    <row r="9" spans="1:19" x14ac:dyDescent="0.2">
      <c r="A9" s="72" t="s">
        <v>81</v>
      </c>
      <c r="B9" s="46"/>
      <c r="C9" s="46"/>
      <c r="D9" s="46"/>
      <c r="E9" s="46"/>
      <c r="F9" s="46"/>
      <c r="G9" s="46"/>
      <c r="H9" s="91"/>
      <c r="I9" s="570"/>
      <c r="J9" s="566">
        <v>22</v>
      </c>
      <c r="K9" s="566">
        <f>23+1.5/5</f>
        <v>23.3</v>
      </c>
      <c r="L9" s="654"/>
      <c r="M9" s="564">
        <v>2</v>
      </c>
      <c r="N9" s="566"/>
      <c r="O9" s="566">
        <v>4</v>
      </c>
      <c r="P9" s="566">
        <v>24</v>
      </c>
      <c r="Q9" s="566"/>
      <c r="R9" s="566">
        <v>3</v>
      </c>
      <c r="S9" s="488"/>
    </row>
    <row r="10" spans="1:19" x14ac:dyDescent="0.2">
      <c r="A10" s="72" t="s">
        <v>82</v>
      </c>
      <c r="B10" s="46"/>
      <c r="C10" s="46"/>
      <c r="D10" s="46"/>
      <c r="E10" s="46"/>
      <c r="F10" s="46"/>
      <c r="G10" s="46"/>
      <c r="H10" s="91"/>
      <c r="I10" s="655">
        <v>1</v>
      </c>
      <c r="J10" s="566">
        <v>30</v>
      </c>
      <c r="K10" s="566">
        <v>42</v>
      </c>
      <c r="L10" s="654">
        <v>1</v>
      </c>
      <c r="M10" s="564"/>
      <c r="N10" s="566"/>
      <c r="O10" s="566">
        <v>2</v>
      </c>
      <c r="P10" s="566">
        <v>17</v>
      </c>
      <c r="Q10" s="566">
        <v>6</v>
      </c>
      <c r="R10" s="566">
        <v>1</v>
      </c>
      <c r="S10" s="488"/>
    </row>
    <row r="11" spans="1:19" x14ac:dyDescent="0.2">
      <c r="A11" s="72" t="s">
        <v>84</v>
      </c>
      <c r="B11" s="46"/>
      <c r="C11" s="46"/>
      <c r="D11" s="46"/>
      <c r="E11" s="46"/>
      <c r="F11" s="46"/>
      <c r="G11" s="46"/>
      <c r="H11" s="91"/>
      <c r="I11" s="570"/>
      <c r="J11" s="566"/>
      <c r="K11" s="566"/>
      <c r="L11" s="654"/>
      <c r="M11" s="564"/>
      <c r="N11" s="566"/>
      <c r="O11" s="566"/>
      <c r="P11" s="566"/>
      <c r="Q11" s="566"/>
      <c r="R11" s="566"/>
      <c r="S11" s="488"/>
    </row>
    <row r="12" spans="1:19" x14ac:dyDescent="0.2">
      <c r="A12" s="72" t="s">
        <v>86</v>
      </c>
      <c r="B12" s="564"/>
      <c r="C12" s="46"/>
      <c r="D12" s="46"/>
      <c r="E12" s="46"/>
      <c r="F12" s="46"/>
      <c r="G12" s="46"/>
      <c r="H12" s="91"/>
      <c r="I12" s="655">
        <f>4+5/55</f>
        <v>4.0909090909090908</v>
      </c>
      <c r="J12" s="566">
        <v>26</v>
      </c>
      <c r="K12" s="566">
        <v>47</v>
      </c>
      <c r="L12" s="654">
        <v>4</v>
      </c>
      <c r="M12" s="564">
        <v>2</v>
      </c>
      <c r="N12" s="566"/>
      <c r="O12" s="566">
        <v>4</v>
      </c>
      <c r="P12" s="566">
        <v>25</v>
      </c>
      <c r="Q12" s="566"/>
      <c r="R12" s="566"/>
      <c r="S12" s="488">
        <v>4</v>
      </c>
    </row>
    <row r="13" spans="1:19" x14ac:dyDescent="0.2">
      <c r="A13" s="72" t="s">
        <v>88</v>
      </c>
      <c r="B13" s="46"/>
      <c r="C13" s="46"/>
      <c r="D13" s="46"/>
      <c r="E13" s="46"/>
      <c r="F13" s="46"/>
      <c r="G13" s="46"/>
      <c r="H13" s="91"/>
      <c r="I13" s="570"/>
      <c r="J13" s="566"/>
      <c r="K13" s="566"/>
      <c r="L13" s="654"/>
      <c r="M13" s="564"/>
      <c r="N13" s="566"/>
      <c r="O13" s="566"/>
      <c r="P13" s="566"/>
      <c r="Q13" s="566"/>
      <c r="R13" s="566"/>
      <c r="S13" s="488"/>
    </row>
    <row r="14" spans="1:19" x14ac:dyDescent="0.2">
      <c r="A14" s="72" t="s">
        <v>89</v>
      </c>
      <c r="B14" s="46"/>
      <c r="C14" s="46"/>
      <c r="D14" s="46"/>
      <c r="E14" s="46"/>
      <c r="F14" s="46"/>
      <c r="G14" s="46"/>
      <c r="H14" s="91"/>
      <c r="I14" s="655"/>
      <c r="J14" s="566"/>
      <c r="K14" s="566"/>
      <c r="L14" s="654"/>
      <c r="M14" s="564"/>
      <c r="N14" s="566"/>
      <c r="O14" s="566"/>
      <c r="P14" s="566"/>
      <c r="Q14" s="566"/>
      <c r="R14" s="566"/>
      <c r="S14" s="488"/>
    </row>
    <row r="15" spans="1:19" x14ac:dyDescent="0.2">
      <c r="A15" s="72" t="s">
        <v>91</v>
      </c>
      <c r="B15" s="564"/>
      <c r="C15" s="46"/>
      <c r="D15" s="46"/>
      <c r="E15" s="46"/>
      <c r="F15" s="46"/>
      <c r="G15" s="46"/>
      <c r="H15" s="91"/>
      <c r="I15" s="570">
        <f>2+4/55</f>
        <v>2.0727272727272728</v>
      </c>
      <c r="J15" s="566">
        <v>24</v>
      </c>
      <c r="K15" s="566">
        <f>60+4/5</f>
        <v>60.8</v>
      </c>
      <c r="L15" s="654"/>
      <c r="M15" s="564"/>
      <c r="N15" s="566"/>
      <c r="O15" s="566">
        <v>4</v>
      </c>
      <c r="P15" s="566">
        <v>31</v>
      </c>
      <c r="Q15" s="566">
        <v>5</v>
      </c>
      <c r="R15" s="566">
        <v>3</v>
      </c>
      <c r="S15" s="488">
        <v>4</v>
      </c>
    </row>
    <row r="16" spans="1:19" x14ac:dyDescent="0.2">
      <c r="A16" s="72" t="s">
        <v>95</v>
      </c>
      <c r="B16" s="46"/>
      <c r="C16" s="46"/>
      <c r="D16" s="46"/>
      <c r="E16" s="46"/>
      <c r="F16" s="46"/>
      <c r="G16" s="46"/>
      <c r="H16" s="91"/>
      <c r="I16" s="92"/>
      <c r="J16" s="566"/>
      <c r="K16" s="566"/>
      <c r="L16" s="654"/>
      <c r="M16" s="564">
        <v>2</v>
      </c>
      <c r="N16" s="566"/>
      <c r="O16" s="566">
        <v>6</v>
      </c>
      <c r="P16" s="566"/>
      <c r="Q16" s="566"/>
      <c r="R16" s="566"/>
      <c r="S16" s="488"/>
    </row>
    <row r="17" spans="1:20" x14ac:dyDescent="0.2">
      <c r="A17" s="72" t="s">
        <v>98</v>
      </c>
      <c r="B17" s="564"/>
      <c r="C17" s="46"/>
      <c r="D17" s="46"/>
      <c r="E17" s="46"/>
      <c r="F17" s="46"/>
      <c r="G17" s="46"/>
      <c r="H17" s="91"/>
      <c r="I17" s="93"/>
      <c r="J17" s="566"/>
      <c r="K17" s="566"/>
      <c r="L17" s="654"/>
      <c r="M17" s="564"/>
      <c r="N17" s="566"/>
      <c r="O17" s="566"/>
      <c r="P17" s="566"/>
      <c r="Q17" s="566"/>
      <c r="R17" s="566"/>
      <c r="S17" s="488"/>
    </row>
    <row r="18" spans="1:20" x14ac:dyDescent="0.2">
      <c r="A18" s="72" t="s">
        <v>100</v>
      </c>
      <c r="B18" s="46">
        <v>2</v>
      </c>
      <c r="C18" s="46"/>
      <c r="D18" s="46"/>
      <c r="E18" s="46"/>
      <c r="F18" s="46"/>
      <c r="G18" s="46"/>
      <c r="H18" s="91"/>
      <c r="I18" s="570">
        <v>3</v>
      </c>
      <c r="J18" s="566">
        <f>33+4/5</f>
        <v>33.799999999999997</v>
      </c>
      <c r="K18" s="566">
        <v>57</v>
      </c>
      <c r="L18" s="654"/>
      <c r="M18" s="564">
        <v>1</v>
      </c>
      <c r="N18" s="566"/>
      <c r="O18" s="566"/>
      <c r="P18" s="566"/>
      <c r="Q18" s="566">
        <v>4</v>
      </c>
      <c r="R18" s="566">
        <v>1</v>
      </c>
      <c r="S18" s="488"/>
    </row>
    <row r="19" spans="1:20" ht="13.5" thickBot="1" x14ac:dyDescent="0.25">
      <c r="A19" s="14" t="s">
        <v>104</v>
      </c>
      <c r="B19" s="94"/>
      <c r="C19" s="94"/>
      <c r="D19" s="94"/>
      <c r="E19" s="94"/>
      <c r="F19" s="94"/>
      <c r="G19" s="94"/>
      <c r="H19" s="95"/>
      <c r="I19" s="92"/>
      <c r="J19" s="45"/>
      <c r="K19" s="45"/>
      <c r="L19" s="569"/>
      <c r="M19" s="47"/>
      <c r="N19" s="45"/>
      <c r="O19" s="45"/>
      <c r="P19" s="45"/>
      <c r="Q19" s="45"/>
      <c r="R19" s="45"/>
      <c r="S19" s="486"/>
    </row>
    <row r="20" spans="1:20" ht="13.5" thickBot="1" x14ac:dyDescent="0.25">
      <c r="A20" s="96" t="s">
        <v>192</v>
      </c>
      <c r="B20" s="565">
        <f t="shared" ref="B20:H20" si="0">SUM(B8:B19)</f>
        <v>2</v>
      </c>
      <c r="C20" s="97">
        <f t="shared" si="0"/>
        <v>0</v>
      </c>
      <c r="D20" s="97">
        <f t="shared" si="0"/>
        <v>0</v>
      </c>
      <c r="E20" s="97">
        <f t="shared" si="0"/>
        <v>0</v>
      </c>
      <c r="F20" s="97">
        <f t="shared" si="0"/>
        <v>0</v>
      </c>
      <c r="G20" s="98">
        <f t="shared" si="0"/>
        <v>0</v>
      </c>
      <c r="H20" s="99">
        <f t="shared" si="0"/>
        <v>0</v>
      </c>
      <c r="I20" s="99">
        <f t="shared" ref="I20" si="1">SUM(I8:I19)</f>
        <v>10.163636363636364</v>
      </c>
      <c r="J20" s="100">
        <f t="shared" ref="J20" si="2">SUM(J8:J19)</f>
        <v>135.80000000000001</v>
      </c>
      <c r="K20" s="101">
        <f t="shared" ref="K20:S20" si="3">SUM(K8:K19)</f>
        <v>230.1</v>
      </c>
      <c r="L20" s="101">
        <f t="shared" si="3"/>
        <v>5</v>
      </c>
      <c r="M20" s="101">
        <f t="shared" si="3"/>
        <v>7</v>
      </c>
      <c r="N20" s="100">
        <f t="shared" si="3"/>
        <v>0</v>
      </c>
      <c r="O20" s="101">
        <f t="shared" si="3"/>
        <v>20</v>
      </c>
      <c r="P20" s="101">
        <f t="shared" si="3"/>
        <v>97</v>
      </c>
      <c r="Q20" s="101">
        <f t="shared" si="3"/>
        <v>15</v>
      </c>
      <c r="R20" s="101">
        <f t="shared" si="3"/>
        <v>8</v>
      </c>
      <c r="S20" s="365">
        <f t="shared" si="3"/>
        <v>12</v>
      </c>
    </row>
    <row r="21" spans="1:20" ht="13.5" thickBot="1" x14ac:dyDescent="0.25">
      <c r="A21" s="102" t="s">
        <v>195</v>
      </c>
      <c r="B21" s="103">
        <f>B7*B20</f>
        <v>396</v>
      </c>
      <c r="C21" s="103">
        <f>C20*0.9464</f>
        <v>0</v>
      </c>
      <c r="D21" s="104">
        <f>D20*D7</f>
        <v>0</v>
      </c>
      <c r="E21" s="103">
        <f>E7*E20</f>
        <v>0</v>
      </c>
      <c r="F21" s="103">
        <f>F7*F20</f>
        <v>0</v>
      </c>
      <c r="G21" s="105">
        <f t="shared" ref="G21:I21" si="4">G20*G7</f>
        <v>0</v>
      </c>
      <c r="H21" s="90">
        <f t="shared" si="4"/>
        <v>0</v>
      </c>
      <c r="I21" s="90">
        <f t="shared" si="4"/>
        <v>2116.0446981818181</v>
      </c>
      <c r="J21" s="104">
        <f t="shared" ref="J21" si="5">J20*J7</f>
        <v>2566.62</v>
      </c>
      <c r="K21" s="104">
        <f t="shared" ref="K21:S21" si="6">K20*K7</f>
        <v>4348.8899999999994</v>
      </c>
      <c r="L21" s="104">
        <f t="shared" si="6"/>
        <v>1041</v>
      </c>
      <c r="M21" s="103">
        <f t="shared" si="6"/>
        <v>1457.3999999999999</v>
      </c>
      <c r="N21" s="104">
        <f t="shared" si="6"/>
        <v>0</v>
      </c>
      <c r="O21" s="104">
        <f t="shared" si="6"/>
        <v>4164</v>
      </c>
      <c r="P21" s="104">
        <f t="shared" si="6"/>
        <v>1833.3</v>
      </c>
      <c r="Q21" s="104">
        <f t="shared" si="6"/>
        <v>283.5</v>
      </c>
      <c r="R21" s="104">
        <f t="shared" si="6"/>
        <v>30.32</v>
      </c>
      <c r="S21" s="111">
        <f t="shared" si="6"/>
        <v>2498.3999999999996</v>
      </c>
    </row>
    <row r="22" spans="1:20" x14ac:dyDescent="0.2">
      <c r="T22" s="389"/>
    </row>
    <row r="23" spans="1:20" ht="13.5" thickBot="1" x14ac:dyDescent="0.25">
      <c r="T23" s="389"/>
    </row>
    <row r="24" spans="1:20" ht="13.5" thickBot="1" x14ac:dyDescent="0.25">
      <c r="A24" s="702" t="s">
        <v>120</v>
      </c>
      <c r="B24" s="703"/>
      <c r="C24" s="703"/>
      <c r="D24" s="703"/>
      <c r="E24" s="703"/>
      <c r="F24" s="703"/>
      <c r="G24" s="703"/>
      <c r="H24" s="703"/>
      <c r="I24" s="703"/>
      <c r="J24" s="703"/>
      <c r="K24" s="703"/>
      <c r="L24" s="703"/>
      <c r="M24" s="703"/>
      <c r="N24" s="703"/>
      <c r="O24" s="703"/>
      <c r="P24" s="703"/>
      <c r="Q24" s="703"/>
      <c r="R24" s="703"/>
      <c r="S24" s="704"/>
    </row>
    <row r="25" spans="1:20" ht="13.5" thickBot="1" x14ac:dyDescent="0.25">
      <c r="A25" s="82" t="s">
        <v>127</v>
      </c>
      <c r="B25" s="80" t="s">
        <v>131</v>
      </c>
      <c r="C25" s="80" t="s">
        <v>264</v>
      </c>
      <c r="D25" s="80" t="s">
        <v>167</v>
      </c>
      <c r="E25" s="80" t="s">
        <v>329</v>
      </c>
      <c r="F25" s="80" t="s">
        <v>165</v>
      </c>
      <c r="G25" s="80" t="s">
        <v>167</v>
      </c>
      <c r="H25" s="80" t="s">
        <v>329</v>
      </c>
      <c r="I25" s="80" t="s">
        <v>128</v>
      </c>
      <c r="J25" s="80" t="s">
        <v>129</v>
      </c>
      <c r="K25" s="80" t="s">
        <v>305</v>
      </c>
      <c r="L25" s="80" t="s">
        <v>305</v>
      </c>
      <c r="M25" s="80" t="s">
        <v>308</v>
      </c>
      <c r="N25" s="80" t="s">
        <v>130</v>
      </c>
      <c r="O25" s="80" t="s">
        <v>131</v>
      </c>
      <c r="P25" s="80" t="s">
        <v>132</v>
      </c>
      <c r="Q25" s="80" t="s">
        <v>316</v>
      </c>
      <c r="R25" s="80" t="s">
        <v>133</v>
      </c>
      <c r="S25" s="83" t="s">
        <v>308</v>
      </c>
    </row>
    <row r="26" spans="1:20" ht="25.5" x14ac:dyDescent="0.2">
      <c r="A26" s="34" t="s">
        <v>143</v>
      </c>
      <c r="B26" s="33" t="s">
        <v>392</v>
      </c>
      <c r="C26" s="33" t="s">
        <v>362</v>
      </c>
      <c r="D26" s="33" t="s">
        <v>359</v>
      </c>
      <c r="E26" s="33" t="s">
        <v>393</v>
      </c>
      <c r="F26" s="33" t="s">
        <v>394</v>
      </c>
      <c r="G26" s="33" t="s">
        <v>395</v>
      </c>
      <c r="H26" s="33" t="s">
        <v>403</v>
      </c>
      <c r="I26" s="30" t="s">
        <v>323</v>
      </c>
      <c r="J26" s="30" t="s">
        <v>144</v>
      </c>
      <c r="K26" s="30" t="s">
        <v>304</v>
      </c>
      <c r="L26" s="30" t="s">
        <v>306</v>
      </c>
      <c r="M26" s="30" t="s">
        <v>307</v>
      </c>
      <c r="N26" s="30" t="s">
        <v>309</v>
      </c>
      <c r="O26" s="37" t="s">
        <v>374</v>
      </c>
      <c r="P26" s="30" t="s">
        <v>145</v>
      </c>
      <c r="Q26" s="30" t="s">
        <v>310</v>
      </c>
      <c r="R26" s="30" t="s">
        <v>146</v>
      </c>
      <c r="S26" s="86" t="s">
        <v>326</v>
      </c>
    </row>
    <row r="27" spans="1:20" ht="13.5" thickBot="1" x14ac:dyDescent="0.25">
      <c r="A27" s="13" t="s">
        <v>161</v>
      </c>
      <c r="B27" s="35" t="s">
        <v>357</v>
      </c>
      <c r="C27" s="35" t="s">
        <v>358</v>
      </c>
      <c r="D27" s="35" t="s">
        <v>360</v>
      </c>
      <c r="E27" s="35" t="s">
        <v>398</v>
      </c>
      <c r="F27" s="35" t="s">
        <v>401</v>
      </c>
      <c r="G27" s="35" t="s">
        <v>396</v>
      </c>
      <c r="H27" s="35" t="s">
        <v>404</v>
      </c>
      <c r="I27" s="36" t="s">
        <v>162</v>
      </c>
      <c r="J27" s="36" t="s">
        <v>162</v>
      </c>
      <c r="K27" s="36" t="s">
        <v>162</v>
      </c>
      <c r="L27" s="36"/>
      <c r="M27" s="36"/>
      <c r="N27" s="36" t="s">
        <v>163</v>
      </c>
      <c r="O27" s="36" t="s">
        <v>162</v>
      </c>
      <c r="P27" s="36" t="s">
        <v>162</v>
      </c>
      <c r="Q27" s="36" t="s">
        <v>162</v>
      </c>
      <c r="R27" s="36" t="s">
        <v>162</v>
      </c>
      <c r="S27" s="49" t="s">
        <v>162</v>
      </c>
    </row>
    <row r="28" spans="1:20" ht="13.5" thickBot="1" x14ac:dyDescent="0.25">
      <c r="A28" s="13">
        <v>18.899999999999999</v>
      </c>
      <c r="B28" s="35">
        <v>19</v>
      </c>
      <c r="C28" s="35">
        <v>3.8</v>
      </c>
      <c r="D28" s="35">
        <v>19</v>
      </c>
      <c r="E28" s="35">
        <v>3.8</v>
      </c>
      <c r="F28" s="35">
        <v>0.95</v>
      </c>
      <c r="G28" s="35">
        <v>0.95</v>
      </c>
      <c r="H28" s="35">
        <v>0.95</v>
      </c>
      <c r="I28" s="36">
        <v>0.95</v>
      </c>
      <c r="J28" s="36">
        <v>0.95</v>
      </c>
      <c r="K28" s="36">
        <v>0.95</v>
      </c>
      <c r="L28" s="36">
        <v>0.95</v>
      </c>
      <c r="M28" s="36">
        <v>0.95</v>
      </c>
      <c r="N28" s="36">
        <v>0.95</v>
      </c>
      <c r="O28" s="36">
        <v>0.95</v>
      </c>
      <c r="P28" s="36">
        <v>0.95</v>
      </c>
      <c r="Q28" s="36">
        <v>0.95</v>
      </c>
      <c r="R28" s="36">
        <v>0.95</v>
      </c>
      <c r="S28" s="49">
        <v>0.95</v>
      </c>
    </row>
    <row r="29" spans="1:20" x14ac:dyDescent="0.2">
      <c r="A29" s="34"/>
      <c r="B29" s="33"/>
      <c r="C29" s="33"/>
      <c r="D29" s="33"/>
      <c r="E29" s="33"/>
      <c r="F29" s="33"/>
      <c r="G29" s="33"/>
      <c r="H29" s="33"/>
      <c r="I29" s="30"/>
      <c r="J29" s="30"/>
      <c r="K29" s="30"/>
      <c r="L29" s="30"/>
      <c r="M29" s="30"/>
      <c r="N29" s="38"/>
      <c r="O29" s="7"/>
      <c r="P29" s="30"/>
      <c r="Q29" s="30"/>
      <c r="R29" s="30"/>
      <c r="S29" s="86"/>
    </row>
    <row r="30" spans="1:20" x14ac:dyDescent="0.2">
      <c r="A30" s="39"/>
      <c r="B30" s="40"/>
      <c r="C30" s="40"/>
      <c r="D30" s="40"/>
      <c r="E30" s="40"/>
      <c r="F30" s="40"/>
      <c r="G30" s="40"/>
      <c r="H30" s="40"/>
      <c r="I30" s="41"/>
      <c r="J30" s="42"/>
      <c r="K30" s="42"/>
      <c r="L30" s="42"/>
      <c r="M30" s="42"/>
      <c r="N30" s="41"/>
      <c r="O30" s="43"/>
      <c r="P30" s="43"/>
      <c r="Q30" s="43"/>
      <c r="R30" s="42"/>
      <c r="S30" s="75"/>
    </row>
    <row r="31" spans="1:20" x14ac:dyDescent="0.2">
      <c r="A31" s="34"/>
      <c r="B31" s="33"/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42"/>
      <c r="O31" s="7"/>
      <c r="P31" s="30"/>
      <c r="Q31" s="30"/>
      <c r="R31" s="30"/>
      <c r="S31" s="86"/>
    </row>
    <row r="32" spans="1:20" x14ac:dyDescent="0.2">
      <c r="A32" s="39"/>
      <c r="B32" s="40"/>
      <c r="C32" s="40"/>
      <c r="D32" s="40"/>
      <c r="E32" s="40"/>
      <c r="F32" s="40"/>
      <c r="G32" s="40"/>
      <c r="H32" s="40"/>
      <c r="I32" s="42"/>
      <c r="J32" s="42"/>
      <c r="K32" s="42"/>
      <c r="L32" s="42"/>
      <c r="M32" s="42"/>
      <c r="N32" s="42"/>
      <c r="O32" s="40"/>
      <c r="P32" s="42"/>
      <c r="Q32" s="42"/>
      <c r="R32" s="42"/>
      <c r="S32" s="75"/>
    </row>
    <row r="33" spans="1:24" x14ac:dyDescent="0.2">
      <c r="A33" s="34"/>
      <c r="B33" s="33"/>
      <c r="C33" s="33"/>
      <c r="D33" s="33"/>
      <c r="E33" s="33"/>
      <c r="F33" s="33"/>
      <c r="G33" s="33"/>
      <c r="H33" s="33"/>
      <c r="I33" s="30"/>
      <c r="J33" s="30"/>
      <c r="K33" s="30"/>
      <c r="L33" s="30"/>
      <c r="M33" s="30"/>
      <c r="N33" s="42"/>
      <c r="O33" s="33"/>
      <c r="P33" s="30"/>
      <c r="Q33" s="30"/>
      <c r="R33" s="30"/>
      <c r="S33" s="86"/>
    </row>
    <row r="34" spans="1:24" x14ac:dyDescent="0.2">
      <c r="A34" s="39"/>
      <c r="B34" s="40"/>
      <c r="C34" s="40"/>
      <c r="D34" s="40"/>
      <c r="E34" s="40"/>
      <c r="F34" s="40"/>
      <c r="G34" s="40"/>
      <c r="H34" s="40"/>
      <c r="I34" s="42"/>
      <c r="J34" s="42"/>
      <c r="K34" s="42"/>
      <c r="L34" s="42"/>
      <c r="M34" s="42"/>
      <c r="N34" s="42"/>
      <c r="O34" s="40"/>
      <c r="P34" s="42"/>
      <c r="Q34" s="42"/>
      <c r="R34" s="42"/>
      <c r="S34" s="75"/>
    </row>
    <row r="35" spans="1:24" x14ac:dyDescent="0.2">
      <c r="A35" s="39"/>
      <c r="B35" s="40"/>
      <c r="C35" s="40"/>
      <c r="D35" s="40"/>
      <c r="E35" s="40"/>
      <c r="F35" s="40"/>
      <c r="G35" s="40"/>
      <c r="H35" s="40"/>
      <c r="I35" s="44"/>
      <c r="J35" s="44"/>
      <c r="K35" s="43"/>
      <c r="L35" s="45"/>
      <c r="M35" s="45"/>
      <c r="N35" s="46"/>
      <c r="O35" s="7"/>
      <c r="P35" s="30"/>
      <c r="Q35" s="30"/>
      <c r="R35" s="30"/>
      <c r="S35" s="86"/>
    </row>
    <row r="36" spans="1:24" x14ac:dyDescent="0.2">
      <c r="A36" s="39"/>
      <c r="B36" s="40"/>
      <c r="C36" s="40"/>
      <c r="D36" s="40"/>
      <c r="E36" s="40"/>
      <c r="F36" s="40"/>
      <c r="G36" s="40"/>
      <c r="H36" s="40"/>
      <c r="I36" s="42"/>
      <c r="J36" s="42"/>
      <c r="K36" s="42"/>
      <c r="L36" s="42"/>
      <c r="M36" s="42"/>
      <c r="N36" s="42"/>
      <c r="O36" s="40"/>
      <c r="P36" s="42"/>
      <c r="Q36" s="42"/>
      <c r="R36" s="42"/>
      <c r="S36" s="75"/>
    </row>
    <row r="37" spans="1:24" x14ac:dyDescent="0.2">
      <c r="A37" s="34"/>
      <c r="B37" s="33"/>
      <c r="C37" s="33"/>
      <c r="D37" s="33"/>
      <c r="E37" s="33"/>
      <c r="F37" s="33"/>
      <c r="G37" s="33"/>
      <c r="H37" s="33"/>
      <c r="I37" s="47"/>
      <c r="J37" s="30"/>
      <c r="K37" s="30"/>
      <c r="L37" s="30"/>
      <c r="M37" s="30"/>
      <c r="N37" s="46"/>
      <c r="O37" s="7"/>
      <c r="P37" s="30"/>
      <c r="Q37" s="30"/>
      <c r="R37" s="30"/>
      <c r="S37" s="86"/>
    </row>
    <row r="38" spans="1:24" x14ac:dyDescent="0.2">
      <c r="A38" s="39"/>
      <c r="B38" s="40"/>
      <c r="C38" s="40"/>
      <c r="D38" s="40"/>
      <c r="E38" s="40"/>
      <c r="F38" s="40"/>
      <c r="G38" s="40"/>
      <c r="H38" s="40"/>
      <c r="I38" s="46"/>
      <c r="J38" s="42"/>
      <c r="K38" s="42"/>
      <c r="L38" s="42"/>
      <c r="M38" s="42"/>
      <c r="N38" s="46"/>
      <c r="O38" s="40"/>
      <c r="P38" s="42"/>
      <c r="Q38" s="42"/>
      <c r="R38" s="42"/>
      <c r="S38" s="75"/>
    </row>
    <row r="39" spans="1:24" x14ac:dyDescent="0.2">
      <c r="A39" s="39"/>
      <c r="B39" s="40"/>
      <c r="C39" s="40"/>
      <c r="D39" s="40"/>
      <c r="E39" s="40"/>
      <c r="F39" s="40"/>
      <c r="G39" s="40"/>
      <c r="H39" s="40"/>
      <c r="I39" s="42"/>
      <c r="J39" s="42"/>
      <c r="K39" s="42"/>
      <c r="L39" s="42"/>
      <c r="M39" s="42"/>
      <c r="N39" s="42"/>
      <c r="O39" s="40"/>
      <c r="P39" s="42"/>
      <c r="Q39" s="42"/>
      <c r="R39" s="42"/>
      <c r="S39" s="75"/>
    </row>
    <row r="40" spans="1:24" ht="13.5" thickBot="1" x14ac:dyDescent="0.25">
      <c r="A40" s="34"/>
      <c r="B40" s="33"/>
      <c r="C40" s="33"/>
      <c r="D40" s="33"/>
      <c r="E40" s="33"/>
      <c r="F40" s="33"/>
      <c r="G40" s="33"/>
      <c r="H40" s="33"/>
      <c r="I40" s="47"/>
      <c r="J40" s="30"/>
      <c r="K40" s="30"/>
      <c r="L40" s="30"/>
      <c r="M40" s="30"/>
      <c r="N40" s="30"/>
      <c r="O40" s="33"/>
      <c r="P40" s="30"/>
      <c r="Q40" s="30"/>
      <c r="R40" s="30"/>
      <c r="S40" s="86"/>
    </row>
    <row r="41" spans="1:24" ht="13.5" thickBot="1" x14ac:dyDescent="0.25">
      <c r="A41" s="99">
        <f t="shared" ref="A41:S41" si="7">SUM(A29:A40)</f>
        <v>0</v>
      </c>
      <c r="B41" s="101">
        <f t="shared" si="7"/>
        <v>0</v>
      </c>
      <c r="C41" s="101">
        <f t="shared" si="7"/>
        <v>0</v>
      </c>
      <c r="D41" s="101">
        <f t="shared" si="7"/>
        <v>0</v>
      </c>
      <c r="E41" s="101">
        <f t="shared" si="7"/>
        <v>0</v>
      </c>
      <c r="F41" s="101">
        <f t="shared" si="7"/>
        <v>0</v>
      </c>
      <c r="G41" s="101">
        <f t="shared" si="7"/>
        <v>0</v>
      </c>
      <c r="H41" s="101">
        <f t="shared" si="7"/>
        <v>0</v>
      </c>
      <c r="I41" s="101">
        <f t="shared" si="7"/>
        <v>0</v>
      </c>
      <c r="J41" s="101">
        <f t="shared" si="7"/>
        <v>0</v>
      </c>
      <c r="K41" s="101">
        <f t="shared" si="7"/>
        <v>0</v>
      </c>
      <c r="L41" s="101">
        <f t="shared" si="7"/>
        <v>0</v>
      </c>
      <c r="M41" s="101">
        <f t="shared" si="7"/>
        <v>0</v>
      </c>
      <c r="N41" s="101">
        <f t="shared" si="7"/>
        <v>0</v>
      </c>
      <c r="O41" s="100">
        <f t="shared" si="7"/>
        <v>0</v>
      </c>
      <c r="P41" s="101">
        <f t="shared" si="7"/>
        <v>0</v>
      </c>
      <c r="Q41" s="101">
        <f t="shared" si="7"/>
        <v>0</v>
      </c>
      <c r="R41" s="101">
        <f t="shared" si="7"/>
        <v>0</v>
      </c>
      <c r="S41" s="106">
        <f t="shared" si="7"/>
        <v>0</v>
      </c>
    </row>
    <row r="42" spans="1:24" ht="13.5" thickBot="1" x14ac:dyDescent="0.25">
      <c r="A42" s="90">
        <f t="shared" ref="A42:S42" si="8">A41*A28</f>
        <v>0</v>
      </c>
      <c r="B42" s="103">
        <f t="shared" si="8"/>
        <v>0</v>
      </c>
      <c r="C42" s="103">
        <f t="shared" si="8"/>
        <v>0</v>
      </c>
      <c r="D42" s="103">
        <f t="shared" si="8"/>
        <v>0</v>
      </c>
      <c r="E42" s="103">
        <f t="shared" si="8"/>
        <v>0</v>
      </c>
      <c r="F42" s="107">
        <f t="shared" si="8"/>
        <v>0</v>
      </c>
      <c r="G42" s="107">
        <f t="shared" si="8"/>
        <v>0</v>
      </c>
      <c r="H42" s="107">
        <f t="shared" si="8"/>
        <v>0</v>
      </c>
      <c r="I42" s="103">
        <f t="shared" si="8"/>
        <v>0</v>
      </c>
      <c r="J42" s="103">
        <f t="shared" si="8"/>
        <v>0</v>
      </c>
      <c r="K42" s="103">
        <f t="shared" si="8"/>
        <v>0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3">
        <f t="shared" si="8"/>
        <v>0</v>
      </c>
      <c r="P42" s="103">
        <f t="shared" si="8"/>
        <v>0</v>
      </c>
      <c r="Q42" s="103">
        <f t="shared" si="8"/>
        <v>0</v>
      </c>
      <c r="R42" s="103">
        <f t="shared" si="8"/>
        <v>0</v>
      </c>
      <c r="S42" s="108">
        <f t="shared" si="8"/>
        <v>0</v>
      </c>
    </row>
    <row r="44" spans="1:24" ht="13.5" thickBot="1" x14ac:dyDescent="0.25"/>
    <row r="45" spans="1:24" ht="13.5" customHeight="1" thickBot="1" x14ac:dyDescent="0.25">
      <c r="A45" s="702" t="s">
        <v>120</v>
      </c>
      <c r="B45" s="703"/>
      <c r="C45" s="703"/>
      <c r="D45" s="703"/>
      <c r="E45" s="703"/>
      <c r="F45" s="703"/>
      <c r="G45" s="703"/>
      <c r="H45" s="703"/>
      <c r="I45" s="703"/>
      <c r="J45" s="703"/>
      <c r="K45" s="703"/>
      <c r="L45" s="704"/>
      <c r="M45" s="702" t="s">
        <v>435</v>
      </c>
      <c r="N45" s="687"/>
      <c r="O45" s="702" t="s">
        <v>123</v>
      </c>
      <c r="P45" s="705"/>
      <c r="Q45" s="706" t="s">
        <v>557</v>
      </c>
      <c r="R45" s="702" t="s">
        <v>615</v>
      </c>
      <c r="S45" s="704"/>
      <c r="U45" s="572"/>
      <c r="V45" s="688"/>
      <c r="W45" s="689"/>
      <c r="X45" s="389"/>
    </row>
    <row r="46" spans="1:24" ht="13.5" thickBot="1" x14ac:dyDescent="0.25">
      <c r="A46" s="110"/>
      <c r="B46" s="109"/>
      <c r="C46" s="109"/>
      <c r="D46" s="80"/>
      <c r="E46" s="80"/>
      <c r="F46" s="80"/>
      <c r="G46" s="80"/>
      <c r="H46" s="80" t="s">
        <v>167</v>
      </c>
      <c r="I46" s="80" t="s">
        <v>329</v>
      </c>
      <c r="J46" s="80" t="s">
        <v>165</v>
      </c>
      <c r="K46" s="80" t="s">
        <v>329</v>
      </c>
      <c r="L46" s="83" t="s">
        <v>329</v>
      </c>
      <c r="M46" s="702"/>
      <c r="N46" s="687"/>
      <c r="O46" s="686"/>
      <c r="P46" s="687"/>
      <c r="Q46" s="707"/>
      <c r="R46" s="651"/>
      <c r="S46" s="652"/>
      <c r="U46" s="572"/>
      <c r="V46" s="690"/>
      <c r="W46" s="691"/>
      <c r="X46" s="389"/>
    </row>
    <row r="47" spans="1:24" ht="25.5" x14ac:dyDescent="0.2">
      <c r="A47" s="32" t="s">
        <v>147</v>
      </c>
      <c r="B47" s="29" t="s">
        <v>148</v>
      </c>
      <c r="C47" s="29" t="s">
        <v>149</v>
      </c>
      <c r="D47" s="30" t="s">
        <v>320</v>
      </c>
      <c r="E47" s="29" t="s">
        <v>266</v>
      </c>
      <c r="F47" s="30" t="s">
        <v>319</v>
      </c>
      <c r="G47" s="48" t="s">
        <v>355</v>
      </c>
      <c r="H47" s="29" t="s">
        <v>280</v>
      </c>
      <c r="I47" s="33" t="s">
        <v>321</v>
      </c>
      <c r="J47" s="7" t="s">
        <v>324</v>
      </c>
      <c r="K47" s="30" t="s">
        <v>375</v>
      </c>
      <c r="L47" s="31" t="s">
        <v>377</v>
      </c>
      <c r="M47" s="10" t="s">
        <v>151</v>
      </c>
      <c r="N47" s="10" t="s">
        <v>537</v>
      </c>
      <c r="O47" s="495" t="s">
        <v>152</v>
      </c>
      <c r="P47" s="495" t="s">
        <v>436</v>
      </c>
      <c r="Q47" s="653" t="s">
        <v>558</v>
      </c>
      <c r="R47" s="661" t="s">
        <v>616</v>
      </c>
      <c r="S47" s="661" t="s">
        <v>616</v>
      </c>
      <c r="U47" s="7"/>
      <c r="V47" s="573"/>
      <c r="W47" s="573"/>
      <c r="X47" s="389"/>
    </row>
    <row r="48" spans="1:24" ht="13.5" thickBot="1" x14ac:dyDescent="0.25">
      <c r="A48" s="13" t="s">
        <v>164</v>
      </c>
      <c r="B48" s="36" t="s">
        <v>165</v>
      </c>
      <c r="C48" s="36" t="s">
        <v>166</v>
      </c>
      <c r="D48" s="36" t="s">
        <v>167</v>
      </c>
      <c r="E48" s="36" t="s">
        <v>165</v>
      </c>
      <c r="F48" s="36" t="s">
        <v>165</v>
      </c>
      <c r="G48" s="36" t="s">
        <v>267</v>
      </c>
      <c r="H48" s="36" t="s">
        <v>167</v>
      </c>
      <c r="I48" s="35" t="s">
        <v>322</v>
      </c>
      <c r="J48" s="76" t="s">
        <v>325</v>
      </c>
      <c r="K48" s="36" t="s">
        <v>376</v>
      </c>
      <c r="L48" s="49" t="s">
        <v>376</v>
      </c>
      <c r="M48" s="12">
        <v>2156</v>
      </c>
      <c r="N48" s="17" t="s">
        <v>538</v>
      </c>
      <c r="O48" s="12" t="s">
        <v>169</v>
      </c>
      <c r="P48" s="12" t="s">
        <v>437</v>
      </c>
      <c r="Q48" s="12" t="s">
        <v>559</v>
      </c>
      <c r="R48" s="12" t="s">
        <v>617</v>
      </c>
      <c r="S48" s="12" t="s">
        <v>618</v>
      </c>
      <c r="U48" s="419"/>
      <c r="V48" s="7"/>
      <c r="W48" s="7"/>
      <c r="X48" s="389"/>
    </row>
    <row r="49" spans="1:24" ht="13.5" thickBot="1" x14ac:dyDescent="0.25">
      <c r="A49" s="13">
        <v>3.8</v>
      </c>
      <c r="B49" s="36">
        <v>0.95</v>
      </c>
      <c r="C49" s="36">
        <v>3.8</v>
      </c>
      <c r="D49" s="36">
        <v>3.8</v>
      </c>
      <c r="E49" s="36">
        <v>0.95</v>
      </c>
      <c r="F49" s="36">
        <v>0.95</v>
      </c>
      <c r="G49" s="36">
        <v>0.95</v>
      </c>
      <c r="H49" s="36">
        <v>3.8</v>
      </c>
      <c r="I49" s="35">
        <v>0.95</v>
      </c>
      <c r="J49" s="76">
        <v>0.95</v>
      </c>
      <c r="K49" s="36">
        <v>3.8</v>
      </c>
      <c r="L49" s="49">
        <v>0.95</v>
      </c>
      <c r="M49" s="487">
        <v>22.7</v>
      </c>
      <c r="N49" s="489">
        <f>100/55*M49</f>
        <v>41.272727272727273</v>
      </c>
      <c r="O49" s="111">
        <v>20</v>
      </c>
      <c r="P49" s="111">
        <v>4</v>
      </c>
      <c r="Q49" s="489">
        <v>18.899999999999999</v>
      </c>
      <c r="R49" s="659">
        <v>0.35499999999999998</v>
      </c>
      <c r="S49" s="111">
        <v>3.8</v>
      </c>
      <c r="U49" s="574"/>
      <c r="V49" s="575"/>
      <c r="W49" s="575"/>
      <c r="X49" s="389"/>
    </row>
    <row r="50" spans="1:24" x14ac:dyDescent="0.2">
      <c r="A50" s="34"/>
      <c r="B50" s="30"/>
      <c r="C50" s="30"/>
      <c r="D50" s="50"/>
      <c r="E50" s="30"/>
      <c r="F50" s="30"/>
      <c r="G50" s="30"/>
      <c r="H50" s="30"/>
      <c r="I50" s="33"/>
      <c r="J50" s="7"/>
      <c r="K50" s="112"/>
      <c r="L50" s="113"/>
      <c r="M50" s="14">
        <v>1</v>
      </c>
      <c r="N50" s="9"/>
      <c r="O50" s="114"/>
      <c r="P50" s="114"/>
      <c r="Q50" s="28"/>
      <c r="R50" s="660"/>
      <c r="S50" s="660"/>
      <c r="U50" s="7"/>
      <c r="V50" s="575"/>
      <c r="W50" s="575"/>
      <c r="X50" s="389"/>
    </row>
    <row r="51" spans="1:24" x14ac:dyDescent="0.2">
      <c r="A51" s="39"/>
      <c r="B51" s="42"/>
      <c r="C51" s="42"/>
      <c r="D51" s="51"/>
      <c r="E51" s="42"/>
      <c r="F51" s="42"/>
      <c r="G51" s="42"/>
      <c r="H51" s="42"/>
      <c r="I51" s="40"/>
      <c r="J51" s="52"/>
      <c r="K51" s="115"/>
      <c r="L51" s="116"/>
      <c r="M51" s="118"/>
      <c r="N51" s="117"/>
      <c r="O51" s="490">
        <v>2</v>
      </c>
      <c r="P51" s="119"/>
      <c r="Q51" s="72"/>
      <c r="R51" s="119"/>
      <c r="S51" s="490">
        <v>1</v>
      </c>
      <c r="U51" s="7"/>
      <c r="V51" s="575"/>
      <c r="W51" s="575"/>
      <c r="X51" s="389"/>
    </row>
    <row r="52" spans="1:24" x14ac:dyDescent="0.2">
      <c r="A52" s="34"/>
      <c r="B52" s="30"/>
      <c r="C52" s="30"/>
      <c r="D52" s="50"/>
      <c r="E52" s="42"/>
      <c r="F52" s="42"/>
      <c r="G52" s="42"/>
      <c r="H52" s="42"/>
      <c r="I52" s="33"/>
      <c r="J52" s="7"/>
      <c r="K52" s="115"/>
      <c r="L52" s="116"/>
      <c r="M52" s="120"/>
      <c r="N52" s="117"/>
      <c r="O52" s="120"/>
      <c r="P52" s="120"/>
      <c r="Q52" s="72"/>
      <c r="R52" s="119"/>
      <c r="S52" s="119"/>
      <c r="U52" s="7"/>
      <c r="V52" s="575"/>
      <c r="W52" s="575"/>
      <c r="X52" s="389"/>
    </row>
    <row r="53" spans="1:24" x14ac:dyDescent="0.2">
      <c r="A53" s="39"/>
      <c r="B53" s="42"/>
      <c r="C53" s="42"/>
      <c r="D53" s="51"/>
      <c r="E53" s="42"/>
      <c r="F53" s="42"/>
      <c r="G53" s="42"/>
      <c r="H53" s="42"/>
      <c r="I53" s="40"/>
      <c r="J53" s="52"/>
      <c r="K53" s="115"/>
      <c r="L53" s="116"/>
      <c r="M53" s="72"/>
      <c r="N53" s="117"/>
      <c r="O53" s="119"/>
      <c r="P53" s="119"/>
      <c r="Q53" s="72"/>
      <c r="R53" s="119"/>
      <c r="S53" s="490">
        <v>1</v>
      </c>
      <c r="U53" s="7"/>
      <c r="V53" s="575"/>
      <c r="W53" s="575"/>
      <c r="X53" s="389"/>
    </row>
    <row r="54" spans="1:24" x14ac:dyDescent="0.2">
      <c r="A54" s="34"/>
      <c r="B54" s="30"/>
      <c r="C54" s="30"/>
      <c r="D54" s="50"/>
      <c r="E54" s="42"/>
      <c r="F54" s="42"/>
      <c r="G54" s="42"/>
      <c r="H54" s="42"/>
      <c r="I54" s="33"/>
      <c r="J54" s="7"/>
      <c r="K54" s="115"/>
      <c r="L54" s="116"/>
      <c r="M54" s="28"/>
      <c r="N54" s="117"/>
      <c r="O54" s="28">
        <v>2</v>
      </c>
      <c r="P54" s="28">
        <v>2</v>
      </c>
      <c r="Q54" s="72"/>
      <c r="R54" s="72"/>
      <c r="S54" s="72"/>
      <c r="U54" s="7"/>
      <c r="V54" s="7"/>
      <c r="W54" s="7"/>
      <c r="X54" s="389"/>
    </row>
    <row r="55" spans="1:24" x14ac:dyDescent="0.2">
      <c r="A55" s="39"/>
      <c r="B55" s="42"/>
      <c r="C55" s="42"/>
      <c r="D55" s="51"/>
      <c r="E55" s="42">
        <v>4</v>
      </c>
      <c r="F55" s="42"/>
      <c r="G55" s="42">
        <v>3</v>
      </c>
      <c r="H55" s="42">
        <v>4</v>
      </c>
      <c r="I55" s="40"/>
      <c r="J55" s="52"/>
      <c r="K55" s="115"/>
      <c r="L55" s="116"/>
      <c r="M55" s="490"/>
      <c r="N55" s="121"/>
      <c r="O55" s="119"/>
      <c r="P55" s="119"/>
      <c r="Q55" s="119"/>
      <c r="R55" s="119"/>
      <c r="S55" s="119"/>
      <c r="U55" s="575"/>
      <c r="V55" s="575"/>
      <c r="W55" s="575"/>
      <c r="X55" s="389"/>
    </row>
    <row r="56" spans="1:24" x14ac:dyDescent="0.2">
      <c r="A56" s="34"/>
      <c r="B56" s="30"/>
      <c r="C56" s="30"/>
      <c r="D56" s="50"/>
      <c r="E56" s="42"/>
      <c r="F56" s="42"/>
      <c r="G56" s="42"/>
      <c r="H56" s="42"/>
      <c r="I56" s="33"/>
      <c r="J56" s="7"/>
      <c r="K56" s="115"/>
      <c r="L56" s="116"/>
      <c r="M56" s="587">
        <v>1</v>
      </c>
      <c r="N56" s="117"/>
      <c r="O56" s="587"/>
      <c r="P56" s="587"/>
      <c r="Q56" s="72"/>
      <c r="R56" s="490"/>
      <c r="S56" s="490"/>
      <c r="U56" s="7"/>
      <c r="V56" s="575"/>
      <c r="W56" s="575"/>
      <c r="X56" s="389"/>
    </row>
    <row r="57" spans="1:24" x14ac:dyDescent="0.2">
      <c r="A57" s="39"/>
      <c r="B57" s="42"/>
      <c r="C57" s="42"/>
      <c r="D57" s="51"/>
      <c r="E57" s="42"/>
      <c r="F57" s="42"/>
      <c r="G57" s="42">
        <v>4</v>
      </c>
      <c r="H57" s="42"/>
      <c r="I57" s="40"/>
      <c r="J57" s="52"/>
      <c r="K57" s="115"/>
      <c r="L57" s="116"/>
      <c r="M57" s="72"/>
      <c r="N57" s="117"/>
      <c r="O57" s="72"/>
      <c r="P57" s="72"/>
      <c r="Q57" s="72"/>
      <c r="R57" s="72"/>
      <c r="S57" s="72"/>
      <c r="U57" s="7"/>
      <c r="V57" s="7"/>
      <c r="W57" s="7"/>
      <c r="X57" s="389"/>
    </row>
    <row r="58" spans="1:24" x14ac:dyDescent="0.2">
      <c r="A58" s="34"/>
      <c r="B58" s="30"/>
      <c r="C58" s="30"/>
      <c r="D58" s="50"/>
      <c r="E58" s="42"/>
      <c r="F58" s="42"/>
      <c r="G58" s="42"/>
      <c r="H58" s="42"/>
      <c r="I58" s="33"/>
      <c r="J58" s="7"/>
      <c r="K58" s="115"/>
      <c r="L58" s="116"/>
      <c r="M58" s="28"/>
      <c r="N58" s="117"/>
      <c r="O58" s="120"/>
      <c r="P58" s="120"/>
      <c r="Q58" s="72"/>
      <c r="R58" s="490">
        <v>12</v>
      </c>
      <c r="S58" s="490"/>
      <c r="U58" s="7"/>
      <c r="V58" s="575"/>
      <c r="W58" s="575"/>
      <c r="X58" s="389"/>
    </row>
    <row r="59" spans="1:24" x14ac:dyDescent="0.2">
      <c r="A59" s="39"/>
      <c r="B59" s="42"/>
      <c r="C59" s="42"/>
      <c r="D59" s="51"/>
      <c r="E59" s="42"/>
      <c r="F59" s="42"/>
      <c r="G59" s="42"/>
      <c r="H59" s="42"/>
      <c r="I59" s="40"/>
      <c r="J59" s="52"/>
      <c r="K59" s="115"/>
      <c r="L59" s="116"/>
      <c r="M59" s="72"/>
      <c r="N59" s="117"/>
      <c r="O59" s="72"/>
      <c r="P59" s="72"/>
      <c r="Q59" s="72"/>
      <c r="R59" s="72"/>
      <c r="S59" s="72"/>
      <c r="U59" s="7"/>
      <c r="V59" s="7"/>
      <c r="W59" s="7"/>
      <c r="X59" s="389"/>
    </row>
    <row r="60" spans="1:24" x14ac:dyDescent="0.2">
      <c r="A60" s="34"/>
      <c r="B60" s="30"/>
      <c r="C60" s="30"/>
      <c r="D60" s="51"/>
      <c r="E60" s="42">
        <v>8</v>
      </c>
      <c r="F60" s="42"/>
      <c r="G60" s="42">
        <v>23</v>
      </c>
      <c r="H60" s="42">
        <v>4</v>
      </c>
      <c r="I60" s="40"/>
      <c r="J60" s="52"/>
      <c r="K60" s="115"/>
      <c r="L60" s="116"/>
      <c r="M60" s="72"/>
      <c r="N60" s="117"/>
      <c r="O60" s="490">
        <v>2</v>
      </c>
      <c r="P60" s="490">
        <v>1</v>
      </c>
      <c r="Q60" s="72"/>
      <c r="R60" s="119"/>
      <c r="S60" s="119"/>
      <c r="U60" s="7"/>
      <c r="V60" s="575"/>
      <c r="W60" s="575"/>
      <c r="X60" s="389"/>
    </row>
    <row r="61" spans="1:24" ht="13.5" thickBot="1" x14ac:dyDescent="0.25">
      <c r="A61" s="18"/>
      <c r="B61" s="54"/>
      <c r="C61" s="54"/>
      <c r="D61" s="50"/>
      <c r="E61" s="54"/>
      <c r="F61" s="54"/>
      <c r="G61" s="54">
        <v>10</v>
      </c>
      <c r="H61" s="54"/>
      <c r="I61" s="33"/>
      <c r="J61" s="7"/>
      <c r="K61" s="122"/>
      <c r="L61" s="123"/>
      <c r="M61" s="68"/>
      <c r="N61" s="124"/>
      <c r="O61" s="68"/>
      <c r="P61" s="68"/>
      <c r="Q61" s="14"/>
      <c r="R61" s="12"/>
      <c r="S61" s="12"/>
      <c r="U61" s="7"/>
      <c r="V61" s="7"/>
      <c r="W61" s="7"/>
      <c r="X61" s="389"/>
    </row>
    <row r="62" spans="1:24" ht="13.5" thickBot="1" x14ac:dyDescent="0.25">
      <c r="A62" s="99">
        <f t="shared" ref="A62:N62" si="9">SUM(A50:A61)</f>
        <v>0</v>
      </c>
      <c r="B62" s="101">
        <f t="shared" si="9"/>
        <v>0</v>
      </c>
      <c r="C62" s="100">
        <f t="shared" si="9"/>
        <v>0</v>
      </c>
      <c r="D62" s="100">
        <f t="shared" si="9"/>
        <v>0</v>
      </c>
      <c r="E62" s="125">
        <f t="shared" si="9"/>
        <v>12</v>
      </c>
      <c r="F62" s="125">
        <f t="shared" si="9"/>
        <v>0</v>
      </c>
      <c r="G62" s="125">
        <f t="shared" si="9"/>
        <v>40</v>
      </c>
      <c r="H62" s="101">
        <f t="shared" si="9"/>
        <v>8</v>
      </c>
      <c r="I62" s="101">
        <f t="shared" si="9"/>
        <v>0</v>
      </c>
      <c r="J62" s="101">
        <f t="shared" si="9"/>
        <v>0</v>
      </c>
      <c r="K62" s="101">
        <f t="shared" si="9"/>
        <v>0</v>
      </c>
      <c r="L62" s="98">
        <f t="shared" si="9"/>
        <v>0</v>
      </c>
      <c r="M62" s="111">
        <f t="shared" si="9"/>
        <v>2</v>
      </c>
      <c r="N62" s="111">
        <f t="shared" si="9"/>
        <v>0</v>
      </c>
      <c r="O62" s="111">
        <f>SUM(O50:O61)</f>
        <v>6</v>
      </c>
      <c r="P62" s="111">
        <f t="shared" ref="P62" si="10">SUM(P50:P61)</f>
        <v>3</v>
      </c>
      <c r="Q62" s="111">
        <f>SUM(Q50:Q61)</f>
        <v>0</v>
      </c>
      <c r="R62" s="111">
        <f t="shared" ref="R62:S62" si="11">SUM(R50:R61)</f>
        <v>12</v>
      </c>
      <c r="S62" s="111">
        <f t="shared" si="11"/>
        <v>2</v>
      </c>
      <c r="U62" s="575"/>
      <c r="V62" s="575"/>
      <c r="W62" s="575"/>
      <c r="X62" s="389"/>
    </row>
    <row r="63" spans="1:24" ht="13.5" thickBot="1" x14ac:dyDescent="0.25">
      <c r="A63" s="90">
        <f t="shared" ref="A63:P63" si="12">A62*A49</f>
        <v>0</v>
      </c>
      <c r="B63" s="103">
        <f t="shared" si="12"/>
        <v>0</v>
      </c>
      <c r="C63" s="104">
        <f t="shared" si="12"/>
        <v>0</v>
      </c>
      <c r="D63" s="104">
        <f t="shared" si="12"/>
        <v>0</v>
      </c>
      <c r="E63" s="104">
        <f t="shared" si="12"/>
        <v>11.399999999999999</v>
      </c>
      <c r="F63" s="104">
        <f t="shared" si="12"/>
        <v>0</v>
      </c>
      <c r="G63" s="104">
        <f t="shared" si="12"/>
        <v>38</v>
      </c>
      <c r="H63" s="104">
        <f t="shared" si="12"/>
        <v>30.4</v>
      </c>
      <c r="I63" s="104">
        <f t="shared" si="12"/>
        <v>0</v>
      </c>
      <c r="J63" s="103">
        <f t="shared" si="12"/>
        <v>0</v>
      </c>
      <c r="K63" s="103">
        <f t="shared" si="12"/>
        <v>0</v>
      </c>
      <c r="L63" s="108">
        <f t="shared" si="12"/>
        <v>0</v>
      </c>
      <c r="M63" s="126">
        <f t="shared" si="12"/>
        <v>45.4</v>
      </c>
      <c r="N63" s="126">
        <f t="shared" si="12"/>
        <v>0</v>
      </c>
      <c r="O63" s="126">
        <f t="shared" si="12"/>
        <v>120</v>
      </c>
      <c r="P63" s="126">
        <f t="shared" si="12"/>
        <v>12</v>
      </c>
      <c r="Q63" s="126">
        <f>Q62*Q49</f>
        <v>0</v>
      </c>
      <c r="R63" s="126">
        <f t="shared" ref="R63:S63" si="13">R62*R49</f>
        <v>4.26</v>
      </c>
      <c r="S63" s="126">
        <f t="shared" si="13"/>
        <v>7.6</v>
      </c>
      <c r="U63" s="575"/>
      <c r="V63" s="575"/>
      <c r="W63" s="575"/>
      <c r="X63" s="389"/>
    </row>
    <row r="64" spans="1:24" x14ac:dyDescent="0.2">
      <c r="K64" s="4"/>
      <c r="L64" s="4"/>
      <c r="R64" s="389"/>
      <c r="S64" s="389"/>
      <c r="U64" s="389"/>
      <c r="V64" s="389"/>
      <c r="W64" s="389"/>
      <c r="X64" s="389"/>
    </row>
    <row r="65" spans="1:24" ht="20.25" x14ac:dyDescent="0.2">
      <c r="A65" s="127" t="s">
        <v>428</v>
      </c>
      <c r="D65" s="128">
        <f>SUM(B21:S21,A42:S42,A63:S63)</f>
        <v>21004.534698181818</v>
      </c>
      <c r="R65" s="389"/>
      <c r="S65" s="389"/>
      <c r="U65" s="389"/>
      <c r="V65" s="389"/>
      <c r="W65" s="389"/>
      <c r="X65" s="389"/>
    </row>
    <row r="66" spans="1:24" x14ac:dyDescent="0.2">
      <c r="R66" s="389"/>
      <c r="S66" s="389"/>
      <c r="U66" s="389"/>
      <c r="V66" s="389"/>
      <c r="W66" s="389"/>
      <c r="X66" s="389"/>
    </row>
    <row r="67" spans="1:24" x14ac:dyDescent="0.2">
      <c r="R67" s="389"/>
      <c r="S67" s="389"/>
    </row>
    <row r="68" spans="1:24" x14ac:dyDescent="0.2">
      <c r="R68" s="389"/>
      <c r="S68" s="389"/>
    </row>
    <row r="69" spans="1:24" x14ac:dyDescent="0.2">
      <c r="R69" s="389"/>
      <c r="S69" s="389"/>
    </row>
    <row r="70" spans="1:24" x14ac:dyDescent="0.2">
      <c r="R70" s="389"/>
      <c r="S70" s="389"/>
    </row>
    <row r="71" spans="1:24" x14ac:dyDescent="0.2">
      <c r="R71" s="389"/>
      <c r="S71" s="389"/>
    </row>
    <row r="72" spans="1:24" x14ac:dyDescent="0.2">
      <c r="R72" s="389"/>
      <c r="S72" s="389"/>
    </row>
    <row r="73" spans="1:24" x14ac:dyDescent="0.2">
      <c r="R73" s="389"/>
      <c r="S73" s="389"/>
    </row>
    <row r="74" spans="1:24" x14ac:dyDescent="0.2">
      <c r="R74" s="389"/>
      <c r="S74" s="389"/>
    </row>
  </sheetData>
  <mergeCells count="14">
    <mergeCell ref="O46:P46"/>
    <mergeCell ref="V45:W45"/>
    <mergeCell ref="V46:W46"/>
    <mergeCell ref="B3:G4"/>
    <mergeCell ref="H3:H4"/>
    <mergeCell ref="S3:S4"/>
    <mergeCell ref="I3:R4"/>
    <mergeCell ref="A24:S24"/>
    <mergeCell ref="A45:L45"/>
    <mergeCell ref="M45:N45"/>
    <mergeCell ref="O45:P45"/>
    <mergeCell ref="M46:N46"/>
    <mergeCell ref="Q45:Q46"/>
    <mergeCell ref="R45:S45"/>
  </mergeCells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topLeftCell="A322" zoomScaleNormal="100" workbookViewId="0">
      <selection activeCell="D338" sqref="D338"/>
    </sheetView>
  </sheetViews>
  <sheetFormatPr defaultColWidth="10.85546875" defaultRowHeight="12.75" x14ac:dyDescent="0.2"/>
  <cols>
    <col min="1" max="1" width="37.140625" style="132" bestFit="1" customWidth="1"/>
    <col min="2" max="2" width="11.140625" style="129" bestFit="1" customWidth="1"/>
    <col min="3" max="3" width="8.140625" style="135" bestFit="1" customWidth="1"/>
    <col min="4" max="4" width="12.7109375" style="136" bestFit="1" customWidth="1"/>
    <col min="5" max="5" width="3.85546875" style="132" bestFit="1" customWidth="1"/>
    <col min="6" max="6" width="8" style="130" bestFit="1" customWidth="1"/>
    <col min="7" max="16384" width="10.85546875" style="129"/>
  </cols>
  <sheetData>
    <row r="1" spans="1:7" x14ac:dyDescent="0.2">
      <c r="A1" s="711" t="s">
        <v>569</v>
      </c>
      <c r="B1" s="711"/>
      <c r="C1" s="711"/>
      <c r="D1" s="711"/>
      <c r="E1" s="711"/>
      <c r="F1" s="711"/>
    </row>
    <row r="2" spans="1:7" x14ac:dyDescent="0.2">
      <c r="A2" s="711" t="s">
        <v>0</v>
      </c>
      <c r="B2" s="711"/>
      <c r="C2" s="711"/>
      <c r="D2" s="711"/>
      <c r="E2" s="711"/>
      <c r="F2" s="711"/>
    </row>
    <row r="3" spans="1:7" ht="13.5" thickBot="1" x14ac:dyDescent="0.25"/>
    <row r="4" spans="1:7" ht="16.5" thickBot="1" x14ac:dyDescent="0.25">
      <c r="A4" s="376"/>
      <c r="B4" s="496" t="s">
        <v>38</v>
      </c>
      <c r="C4" s="378"/>
      <c r="D4" s="505" t="s">
        <v>39</v>
      </c>
      <c r="E4" s="380"/>
      <c r="F4" s="381"/>
    </row>
    <row r="5" spans="1:7" s="134" customFormat="1" ht="16.5" thickBot="1" x14ac:dyDescent="0.25">
      <c r="A5" s="708" t="s">
        <v>37</v>
      </c>
      <c r="B5" s="709"/>
      <c r="C5" s="709"/>
      <c r="D5" s="709"/>
      <c r="E5" s="709"/>
      <c r="F5" s="710"/>
    </row>
    <row r="6" spans="1:7" s="133" customFormat="1" x14ac:dyDescent="0.2">
      <c r="A6" s="382" t="s">
        <v>92</v>
      </c>
      <c r="B6" s="383">
        <f>Paints!B21</f>
        <v>396</v>
      </c>
      <c r="C6" s="384" t="s">
        <v>57</v>
      </c>
      <c r="D6" s="385">
        <v>0.98499999999999999</v>
      </c>
      <c r="E6" s="386" t="s">
        <v>58</v>
      </c>
      <c r="F6" s="387" t="s">
        <v>59</v>
      </c>
    </row>
    <row r="7" spans="1:7" x14ac:dyDescent="0.2">
      <c r="A7" s="388" t="s">
        <v>62</v>
      </c>
      <c r="B7" s="389"/>
      <c r="C7" s="320">
        <v>0.51557999999999993</v>
      </c>
      <c r="D7" s="390">
        <f>B$6*D$6*C7</f>
        <v>201.10713479999998</v>
      </c>
      <c r="E7" s="391" t="s">
        <v>64</v>
      </c>
      <c r="F7" s="387"/>
    </row>
    <row r="8" spans="1:7" x14ac:dyDescent="0.2">
      <c r="A8" s="418" t="s">
        <v>99</v>
      </c>
      <c r="B8" s="389" t="s">
        <v>94</v>
      </c>
      <c r="C8" s="320">
        <v>7.0000000000000007E-2</v>
      </c>
      <c r="D8" s="671">
        <f t="shared" ref="D8:D12" si="0">B$6*D$6*C8</f>
        <v>27.304200000000002</v>
      </c>
      <c r="E8" s="391" t="s">
        <v>64</v>
      </c>
      <c r="F8" s="387"/>
    </row>
    <row r="9" spans="1:7" x14ac:dyDescent="0.2">
      <c r="A9" s="388" t="s">
        <v>101</v>
      </c>
      <c r="B9" s="389" t="s">
        <v>27</v>
      </c>
      <c r="C9" s="320">
        <v>0.1</v>
      </c>
      <c r="D9" s="671">
        <f t="shared" si="0"/>
        <v>39.006</v>
      </c>
      <c r="E9" s="391" t="s">
        <v>64</v>
      </c>
      <c r="F9" s="387"/>
    </row>
    <row r="10" spans="1:7" x14ac:dyDescent="0.2">
      <c r="A10" s="388" t="s">
        <v>564</v>
      </c>
      <c r="B10" s="389" t="s">
        <v>103</v>
      </c>
      <c r="C10" s="320">
        <v>0.05</v>
      </c>
      <c r="D10" s="671">
        <f t="shared" si="0"/>
        <v>19.503</v>
      </c>
      <c r="E10" s="391" t="s">
        <v>64</v>
      </c>
      <c r="F10" s="387"/>
    </row>
    <row r="11" spans="1:7" x14ac:dyDescent="0.2">
      <c r="A11" s="388" t="s">
        <v>74</v>
      </c>
      <c r="B11" s="389" t="s">
        <v>29</v>
      </c>
      <c r="C11" s="320">
        <v>0.26</v>
      </c>
      <c r="D11" s="671">
        <f t="shared" si="0"/>
        <v>101.4156</v>
      </c>
      <c r="E11" s="391" t="s">
        <v>64</v>
      </c>
      <c r="F11" s="387"/>
    </row>
    <row r="12" spans="1:7" x14ac:dyDescent="0.2">
      <c r="A12" s="392" t="s">
        <v>108</v>
      </c>
      <c r="B12" s="393" t="s">
        <v>214</v>
      </c>
      <c r="C12" s="321">
        <v>4.4999999999999997E-3</v>
      </c>
      <c r="D12" s="672">
        <f t="shared" si="0"/>
        <v>1.7552699999999999</v>
      </c>
      <c r="E12" s="395" t="s">
        <v>64</v>
      </c>
      <c r="F12" s="396"/>
    </row>
    <row r="13" spans="1:7" x14ac:dyDescent="0.2">
      <c r="A13" s="392" t="s">
        <v>79</v>
      </c>
      <c r="B13" s="322"/>
      <c r="C13" s="397">
        <f>SUM(C7:C12)</f>
        <v>1.0000800000000001</v>
      </c>
      <c r="D13" s="394">
        <f>SUM(D7:D12)</f>
        <v>390.09120479999996</v>
      </c>
      <c r="E13" s="395" t="s">
        <v>64</v>
      </c>
      <c r="F13" s="396"/>
      <c r="G13" s="136"/>
    </row>
    <row r="14" spans="1:7" s="130" customFormat="1" x14ac:dyDescent="0.2">
      <c r="A14" s="319" t="s">
        <v>270</v>
      </c>
      <c r="B14" s="398">
        <f>Paints!C21</f>
        <v>0</v>
      </c>
      <c r="C14" s="399" t="s">
        <v>57</v>
      </c>
      <c r="D14" s="398">
        <v>0.89300000000000002</v>
      </c>
      <c r="E14" s="400" t="s">
        <v>58</v>
      </c>
      <c r="F14" s="401" t="s">
        <v>212</v>
      </c>
    </row>
    <row r="15" spans="1:7" x14ac:dyDescent="0.2">
      <c r="A15" s="388" t="s">
        <v>62</v>
      </c>
      <c r="B15" s="389"/>
      <c r="C15" s="320">
        <v>0.18</v>
      </c>
      <c r="D15" s="390">
        <v>0</v>
      </c>
      <c r="E15" s="391" t="s">
        <v>113</v>
      </c>
      <c r="F15" s="387"/>
    </row>
    <row r="16" spans="1:7" x14ac:dyDescent="0.2">
      <c r="A16" s="388" t="s">
        <v>54</v>
      </c>
      <c r="B16" s="389" t="s">
        <v>34</v>
      </c>
      <c r="C16" s="320">
        <v>0.8</v>
      </c>
      <c r="D16" s="671">
        <v>0</v>
      </c>
      <c r="E16" s="391" t="s">
        <v>113</v>
      </c>
      <c r="F16" s="387"/>
    </row>
    <row r="17" spans="1:7" x14ac:dyDescent="0.2">
      <c r="A17" s="388" t="s">
        <v>114</v>
      </c>
      <c r="B17" s="389" t="s">
        <v>115</v>
      </c>
      <c r="C17" s="320">
        <v>0.01</v>
      </c>
      <c r="D17" s="671">
        <v>0</v>
      </c>
      <c r="E17" s="391" t="s">
        <v>113</v>
      </c>
      <c r="F17" s="387"/>
    </row>
    <row r="18" spans="1:7" x14ac:dyDescent="0.2">
      <c r="A18" s="392" t="s">
        <v>114</v>
      </c>
      <c r="B18" s="322" t="s">
        <v>124</v>
      </c>
      <c r="C18" s="321">
        <v>0.01</v>
      </c>
      <c r="D18" s="672">
        <v>0</v>
      </c>
      <c r="E18" s="395" t="s">
        <v>113</v>
      </c>
      <c r="F18" s="396"/>
    </row>
    <row r="19" spans="1:7" x14ac:dyDescent="0.2">
      <c r="A19" s="392" t="s">
        <v>79</v>
      </c>
      <c r="B19" s="322"/>
      <c r="C19" s="321">
        <f>SUM(C15:C18)</f>
        <v>1</v>
      </c>
      <c r="D19" s="394">
        <f>SUM(D15:D18)</f>
        <v>0</v>
      </c>
      <c r="E19" s="395" t="s">
        <v>113</v>
      </c>
      <c r="F19" s="396"/>
      <c r="G19" s="136"/>
    </row>
    <row r="20" spans="1:7" s="130" customFormat="1" x14ac:dyDescent="0.2">
      <c r="A20" s="382" t="s">
        <v>170</v>
      </c>
      <c r="B20" s="402">
        <f>Paints!D21</f>
        <v>0</v>
      </c>
      <c r="C20" s="403" t="s">
        <v>57</v>
      </c>
      <c r="D20" s="402">
        <v>1</v>
      </c>
      <c r="E20" s="404" t="s">
        <v>58</v>
      </c>
      <c r="F20" s="387" t="s">
        <v>59</v>
      </c>
    </row>
    <row r="21" spans="1:7" x14ac:dyDescent="0.2">
      <c r="A21" s="388" t="s">
        <v>62</v>
      </c>
      <c r="B21" s="389"/>
      <c r="C21" s="320">
        <v>0.59</v>
      </c>
      <c r="D21" s="390">
        <v>0</v>
      </c>
      <c r="E21" s="391" t="s">
        <v>113</v>
      </c>
      <c r="F21" s="387"/>
    </row>
    <row r="22" spans="1:7" x14ac:dyDescent="0.2">
      <c r="A22" s="388" t="s">
        <v>44</v>
      </c>
      <c r="B22" s="389" t="s">
        <v>23</v>
      </c>
      <c r="C22" s="320">
        <v>0.2</v>
      </c>
      <c r="D22" s="671">
        <v>0</v>
      </c>
      <c r="E22" s="391" t="s">
        <v>113</v>
      </c>
      <c r="F22" s="387"/>
    </row>
    <row r="23" spans="1:7" x14ac:dyDescent="0.2">
      <c r="A23" s="388" t="s">
        <v>174</v>
      </c>
      <c r="B23" s="389" t="s">
        <v>175</v>
      </c>
      <c r="C23" s="320">
        <v>0.05</v>
      </c>
      <c r="D23" s="671">
        <v>0</v>
      </c>
      <c r="E23" s="391" t="s">
        <v>113</v>
      </c>
      <c r="F23" s="387"/>
    </row>
    <row r="24" spans="1:7" x14ac:dyDescent="0.2">
      <c r="A24" s="388" t="s">
        <v>176</v>
      </c>
      <c r="B24" s="389" t="s">
        <v>177</v>
      </c>
      <c r="C24" s="320">
        <v>0.01</v>
      </c>
      <c r="D24" s="671">
        <v>0</v>
      </c>
      <c r="E24" s="391" t="s">
        <v>113</v>
      </c>
      <c r="F24" s="387"/>
    </row>
    <row r="25" spans="1:7" x14ac:dyDescent="0.2">
      <c r="A25" s="392" t="s">
        <v>179</v>
      </c>
      <c r="B25" s="322" t="s">
        <v>103</v>
      </c>
      <c r="C25" s="321">
        <v>0.15</v>
      </c>
      <c r="D25" s="672">
        <v>0</v>
      </c>
      <c r="E25" s="395" t="s">
        <v>113</v>
      </c>
      <c r="F25" s="396"/>
    </row>
    <row r="26" spans="1:7" x14ac:dyDescent="0.2">
      <c r="A26" s="392" t="s">
        <v>79</v>
      </c>
      <c r="B26" s="322"/>
      <c r="C26" s="321">
        <f>SUM(C21:C25)</f>
        <v>1</v>
      </c>
      <c r="D26" s="394">
        <v>0</v>
      </c>
      <c r="E26" s="395" t="s">
        <v>113</v>
      </c>
      <c r="F26" s="396"/>
    </row>
    <row r="27" spans="1:7" s="130" customFormat="1" x14ac:dyDescent="0.2">
      <c r="A27" s="319" t="s">
        <v>327</v>
      </c>
      <c r="B27" s="398">
        <f>Paints!E21</f>
        <v>0</v>
      </c>
      <c r="C27" s="399" t="s">
        <v>57</v>
      </c>
      <c r="D27" s="398">
        <v>1</v>
      </c>
      <c r="E27" s="400" t="s">
        <v>58</v>
      </c>
      <c r="F27" s="401" t="s">
        <v>59</v>
      </c>
    </row>
    <row r="28" spans="1:7" x14ac:dyDescent="0.2">
      <c r="A28" s="388" t="s">
        <v>62</v>
      </c>
      <c r="B28" s="389"/>
      <c r="C28" s="320">
        <v>0.52</v>
      </c>
      <c r="D28" s="390">
        <v>0</v>
      </c>
      <c r="E28" s="391" t="s">
        <v>113</v>
      </c>
      <c r="F28" s="387"/>
    </row>
    <row r="29" spans="1:7" x14ac:dyDescent="0.2">
      <c r="A29" s="388" t="s">
        <v>99</v>
      </c>
      <c r="B29" s="389" t="s">
        <v>94</v>
      </c>
      <c r="C29" s="320">
        <v>0.03</v>
      </c>
      <c r="D29" s="671">
        <v>0</v>
      </c>
      <c r="E29" s="391" t="s">
        <v>113</v>
      </c>
      <c r="F29" s="387"/>
    </row>
    <row r="30" spans="1:7" x14ac:dyDescent="0.2">
      <c r="A30" s="388" t="s">
        <v>101</v>
      </c>
      <c r="B30" s="389" t="s">
        <v>27</v>
      </c>
      <c r="C30" s="320">
        <v>0.15</v>
      </c>
      <c r="D30" s="671">
        <v>0</v>
      </c>
      <c r="E30" s="391" t="s">
        <v>113</v>
      </c>
      <c r="F30" s="387"/>
    </row>
    <row r="31" spans="1:7" x14ac:dyDescent="0.2">
      <c r="A31" s="388" t="s">
        <v>105</v>
      </c>
      <c r="B31" s="389" t="s">
        <v>65</v>
      </c>
      <c r="C31" s="320">
        <v>0.1</v>
      </c>
      <c r="D31" s="671">
        <v>0</v>
      </c>
      <c r="E31" s="391" t="s">
        <v>113</v>
      </c>
      <c r="F31" s="387"/>
    </row>
    <row r="32" spans="1:7" x14ac:dyDescent="0.2">
      <c r="A32" s="392" t="s">
        <v>74</v>
      </c>
      <c r="B32" s="322" t="s">
        <v>29</v>
      </c>
      <c r="C32" s="321">
        <v>0.2</v>
      </c>
      <c r="D32" s="672">
        <v>0</v>
      </c>
      <c r="E32" s="395" t="s">
        <v>113</v>
      </c>
      <c r="F32" s="396"/>
    </row>
    <row r="33" spans="1:8" x14ac:dyDescent="0.2">
      <c r="A33" s="392" t="s">
        <v>79</v>
      </c>
      <c r="B33" s="322"/>
      <c r="C33" s="321">
        <f>SUM(C28:C32)</f>
        <v>1</v>
      </c>
      <c r="D33" s="394">
        <v>0</v>
      </c>
      <c r="E33" s="395" t="s">
        <v>113</v>
      </c>
      <c r="F33" s="396"/>
    </row>
    <row r="34" spans="1:8" s="130" customFormat="1" x14ac:dyDescent="0.2">
      <c r="A34" s="319" t="s">
        <v>196</v>
      </c>
      <c r="B34" s="398">
        <f>Paints!F21</f>
        <v>0</v>
      </c>
      <c r="C34" s="399" t="s">
        <v>57</v>
      </c>
      <c r="D34" s="398">
        <v>1</v>
      </c>
      <c r="E34" s="400" t="s">
        <v>58</v>
      </c>
      <c r="F34" s="401" t="s">
        <v>59</v>
      </c>
    </row>
    <row r="35" spans="1:8" x14ac:dyDescent="0.2">
      <c r="A35" s="388" t="s">
        <v>62</v>
      </c>
      <c r="B35" s="389"/>
      <c r="C35" s="320">
        <v>0.8</v>
      </c>
      <c r="D35" s="390">
        <f>D38*C35</f>
        <v>0</v>
      </c>
      <c r="E35" s="391" t="s">
        <v>113</v>
      </c>
      <c r="F35" s="387"/>
    </row>
    <row r="36" spans="1:8" x14ac:dyDescent="0.2">
      <c r="A36" s="388" t="s">
        <v>74</v>
      </c>
      <c r="B36" s="389" t="s">
        <v>29</v>
      </c>
      <c r="C36" s="320">
        <v>0.1</v>
      </c>
      <c r="D36" s="671">
        <f>D38*C36</f>
        <v>0</v>
      </c>
      <c r="E36" s="391" t="s">
        <v>113</v>
      </c>
      <c r="F36" s="387"/>
    </row>
    <row r="37" spans="1:8" x14ac:dyDescent="0.2">
      <c r="A37" s="392" t="s">
        <v>44</v>
      </c>
      <c r="B37" s="322" t="s">
        <v>23</v>
      </c>
      <c r="C37" s="321">
        <v>0.1</v>
      </c>
      <c r="D37" s="672">
        <f>D38*C37</f>
        <v>0</v>
      </c>
      <c r="E37" s="395" t="s">
        <v>113</v>
      </c>
      <c r="F37" s="396"/>
    </row>
    <row r="38" spans="1:8" x14ac:dyDescent="0.2">
      <c r="A38" s="392" t="s">
        <v>79</v>
      </c>
      <c r="B38" s="322"/>
      <c r="C38" s="321">
        <f>SUM(C35:C37)</f>
        <v>1</v>
      </c>
      <c r="D38" s="394">
        <f>B34*D34</f>
        <v>0</v>
      </c>
      <c r="E38" s="395" t="s">
        <v>113</v>
      </c>
      <c r="F38" s="396"/>
      <c r="H38" s="136"/>
    </row>
    <row r="39" spans="1:8" s="130" customFormat="1" x14ac:dyDescent="0.2">
      <c r="A39" s="319" t="s">
        <v>200</v>
      </c>
      <c r="B39" s="398">
        <f>Paints!G21</f>
        <v>0</v>
      </c>
      <c r="C39" s="399" t="s">
        <v>57</v>
      </c>
      <c r="D39" s="398">
        <v>1</v>
      </c>
      <c r="E39" s="400" t="s">
        <v>113</v>
      </c>
      <c r="F39" s="401" t="s">
        <v>59</v>
      </c>
    </row>
    <row r="40" spans="1:8" x14ac:dyDescent="0.2">
      <c r="A40" s="388" t="s">
        <v>62</v>
      </c>
      <c r="B40" s="389"/>
      <c r="C40" s="320">
        <v>0.73</v>
      </c>
      <c r="D40" s="390">
        <v>0</v>
      </c>
      <c r="E40" s="391" t="s">
        <v>113</v>
      </c>
      <c r="F40" s="387"/>
    </row>
    <row r="41" spans="1:8" x14ac:dyDescent="0.2">
      <c r="A41" s="388" t="s">
        <v>44</v>
      </c>
      <c r="B41" s="389" t="s">
        <v>23</v>
      </c>
      <c r="C41" s="320">
        <v>0.02</v>
      </c>
      <c r="D41" s="671">
        <v>0</v>
      </c>
      <c r="E41" s="391" t="s">
        <v>113</v>
      </c>
      <c r="F41" s="387"/>
    </row>
    <row r="42" spans="1:8" x14ac:dyDescent="0.2">
      <c r="A42" s="388" t="s">
        <v>202</v>
      </c>
      <c r="B42" s="389" t="s">
        <v>30</v>
      </c>
      <c r="C42" s="320">
        <v>0.2</v>
      </c>
      <c r="D42" s="671">
        <v>0</v>
      </c>
      <c r="E42" s="391" t="s">
        <v>113</v>
      </c>
      <c r="F42" s="387"/>
    </row>
    <row r="43" spans="1:8" x14ac:dyDescent="0.2">
      <c r="A43" s="392" t="s">
        <v>205</v>
      </c>
      <c r="B43" s="322" t="s">
        <v>185</v>
      </c>
      <c r="C43" s="321">
        <v>0.05</v>
      </c>
      <c r="D43" s="672">
        <v>0</v>
      </c>
      <c r="E43" s="395" t="s">
        <v>113</v>
      </c>
      <c r="F43" s="396"/>
    </row>
    <row r="44" spans="1:8" x14ac:dyDescent="0.2">
      <c r="A44" s="392" t="s">
        <v>79</v>
      </c>
      <c r="B44" s="322"/>
      <c r="C44" s="321">
        <f>SUM(C40:C43)</f>
        <v>1</v>
      </c>
      <c r="D44" s="394">
        <v>0</v>
      </c>
      <c r="E44" s="395" t="s">
        <v>113</v>
      </c>
      <c r="F44" s="396"/>
    </row>
    <row r="45" spans="1:8" s="130" customFormat="1" ht="15.75" x14ac:dyDescent="0.2">
      <c r="A45" s="405" t="s">
        <v>118</v>
      </c>
      <c r="B45" s="406"/>
      <c r="C45" s="399"/>
      <c r="D45" s="398"/>
      <c r="E45" s="400"/>
      <c r="F45" s="401"/>
    </row>
    <row r="46" spans="1:8" x14ac:dyDescent="0.2">
      <c r="A46" s="382" t="s">
        <v>140</v>
      </c>
      <c r="B46" s="402">
        <f>Paints!H21</f>
        <v>0</v>
      </c>
      <c r="C46" s="403" t="s">
        <v>57</v>
      </c>
      <c r="D46" s="407">
        <v>0.89</v>
      </c>
      <c r="E46" s="404" t="s">
        <v>58</v>
      </c>
      <c r="F46" s="387" t="s">
        <v>212</v>
      </c>
    </row>
    <row r="47" spans="1:8" x14ac:dyDescent="0.2">
      <c r="A47" s="388" t="s">
        <v>62</v>
      </c>
      <c r="B47" s="389"/>
      <c r="C47" s="320">
        <v>0.3899999999999999</v>
      </c>
      <c r="D47" s="390">
        <f>B$46*D$46*C47</f>
        <v>0</v>
      </c>
      <c r="E47" s="391" t="s">
        <v>113</v>
      </c>
      <c r="F47" s="387"/>
    </row>
    <row r="48" spans="1:8" x14ac:dyDescent="0.2">
      <c r="A48" s="388" t="s">
        <v>217</v>
      </c>
      <c r="B48" s="389" t="s">
        <v>69</v>
      </c>
      <c r="C48" s="320">
        <v>0.4</v>
      </c>
      <c r="D48" s="671">
        <f t="shared" ref="D48:D50" si="1">B$46*D$46*C48</f>
        <v>0</v>
      </c>
      <c r="E48" s="391" t="s">
        <v>113</v>
      </c>
      <c r="F48" s="387"/>
    </row>
    <row r="49" spans="1:7" x14ac:dyDescent="0.2">
      <c r="A49" s="388" t="s">
        <v>218</v>
      </c>
      <c r="B49" s="389" t="s">
        <v>189</v>
      </c>
      <c r="C49" s="320">
        <v>0.16</v>
      </c>
      <c r="D49" s="390">
        <f t="shared" si="1"/>
        <v>0</v>
      </c>
      <c r="E49" s="391" t="s">
        <v>113</v>
      </c>
      <c r="F49" s="387"/>
    </row>
    <row r="50" spans="1:7" x14ac:dyDescent="0.2">
      <c r="A50" s="392" t="s">
        <v>74</v>
      </c>
      <c r="B50" s="322" t="s">
        <v>29</v>
      </c>
      <c r="C50" s="321">
        <v>0.05</v>
      </c>
      <c r="D50" s="672">
        <f t="shared" si="1"/>
        <v>0</v>
      </c>
      <c r="E50" s="395" t="s">
        <v>113</v>
      </c>
      <c r="F50" s="396"/>
    </row>
    <row r="51" spans="1:7" ht="13.5" thickBot="1" x14ac:dyDescent="0.25">
      <c r="A51" s="408" t="s">
        <v>79</v>
      </c>
      <c r="B51" s="409"/>
      <c r="C51" s="410">
        <f>SUM(C47:C50)</f>
        <v>1</v>
      </c>
      <c r="D51" s="411">
        <f>SUM(D47:D50)</f>
        <v>0</v>
      </c>
      <c r="E51" s="412" t="s">
        <v>113</v>
      </c>
      <c r="F51" s="413"/>
      <c r="G51" s="136">
        <f>B46*D46</f>
        <v>0</v>
      </c>
    </row>
    <row r="52" spans="1:7" ht="13.5" thickBot="1" x14ac:dyDescent="0.25">
      <c r="A52" s="414"/>
      <c r="B52" s="415"/>
      <c r="C52" s="416"/>
      <c r="D52" s="417"/>
      <c r="E52" s="414"/>
      <c r="F52" s="377"/>
    </row>
    <row r="53" spans="1:7" s="130" customFormat="1" ht="16.5" thickBot="1" x14ac:dyDescent="0.25">
      <c r="A53" s="708" t="s">
        <v>119</v>
      </c>
      <c r="B53" s="709"/>
      <c r="C53" s="709"/>
      <c r="D53" s="709"/>
      <c r="E53" s="709"/>
      <c r="F53" s="710"/>
    </row>
    <row r="54" spans="1:7" ht="18" customHeight="1" thickBot="1" x14ac:dyDescent="0.25">
      <c r="A54" s="376"/>
      <c r="B54" s="377" t="s">
        <v>38</v>
      </c>
      <c r="C54" s="378"/>
      <c r="D54" s="379" t="s">
        <v>39</v>
      </c>
      <c r="E54" s="380"/>
      <c r="F54" s="381"/>
    </row>
    <row r="55" spans="1:7" x14ac:dyDescent="0.2">
      <c r="A55" s="382" t="s">
        <v>141</v>
      </c>
      <c r="B55" s="402">
        <f>Paints!I21</f>
        <v>2116.0446981818181</v>
      </c>
      <c r="C55" s="403" t="s">
        <v>57</v>
      </c>
      <c r="D55" s="407">
        <v>0.91700000000000004</v>
      </c>
      <c r="E55" s="404" t="s">
        <v>58</v>
      </c>
      <c r="F55" s="387" t="s">
        <v>212</v>
      </c>
    </row>
    <row r="56" spans="1:7" x14ac:dyDescent="0.2">
      <c r="A56" s="388" t="s">
        <v>62</v>
      </c>
      <c r="B56" s="389"/>
      <c r="C56" s="432">
        <v>0.28000000000000003</v>
      </c>
      <c r="D56" s="390">
        <f>B$55*D$55*C56</f>
        <v>543.31563670516368</v>
      </c>
      <c r="E56" s="391" t="s">
        <v>113</v>
      </c>
      <c r="F56" s="387"/>
    </row>
    <row r="57" spans="1:7" x14ac:dyDescent="0.2">
      <c r="A57" s="418" t="s">
        <v>219</v>
      </c>
      <c r="B57" s="389" t="s">
        <v>29</v>
      </c>
      <c r="C57" s="432">
        <v>0.45</v>
      </c>
      <c r="D57" s="671">
        <f t="shared" ref="D57:D59" si="2">B$55*D$55*C57</f>
        <v>873.18584470472729</v>
      </c>
      <c r="E57" s="391" t="s">
        <v>113</v>
      </c>
      <c r="F57" s="387"/>
    </row>
    <row r="58" spans="1:7" x14ac:dyDescent="0.2">
      <c r="A58" s="418" t="s">
        <v>409</v>
      </c>
      <c r="B58" s="589" t="s">
        <v>94</v>
      </c>
      <c r="C58" s="432">
        <v>0.1</v>
      </c>
      <c r="D58" s="671">
        <f t="shared" si="2"/>
        <v>194.04129882327274</v>
      </c>
      <c r="E58" s="391" t="s">
        <v>113</v>
      </c>
      <c r="F58" s="387"/>
    </row>
    <row r="59" spans="1:7" x14ac:dyDescent="0.2">
      <c r="A59" s="392" t="s">
        <v>217</v>
      </c>
      <c r="B59" s="393" t="s">
        <v>418</v>
      </c>
      <c r="C59" s="422">
        <v>0.17</v>
      </c>
      <c r="D59" s="672">
        <f t="shared" si="2"/>
        <v>329.87020799956366</v>
      </c>
      <c r="E59" s="395" t="s">
        <v>113</v>
      </c>
      <c r="F59" s="396"/>
    </row>
    <row r="60" spans="1:7" s="130" customFormat="1" x14ac:dyDescent="0.2">
      <c r="A60" s="438" t="s">
        <v>79</v>
      </c>
      <c r="B60" s="439"/>
      <c r="C60" s="581">
        <f>SUM(C56:C59)</f>
        <v>1</v>
      </c>
      <c r="D60" s="441">
        <f>SUM(D56:D59)</f>
        <v>1940.4129882327272</v>
      </c>
      <c r="E60" s="442" t="s">
        <v>113</v>
      </c>
      <c r="F60" s="443"/>
      <c r="G60" s="323"/>
    </row>
    <row r="61" spans="1:7" x14ac:dyDescent="0.2">
      <c r="A61" s="319" t="s">
        <v>534</v>
      </c>
      <c r="B61" s="398">
        <f>Paints!J21</f>
        <v>2566.62</v>
      </c>
      <c r="C61" s="399" t="s">
        <v>57</v>
      </c>
      <c r="D61" s="420">
        <v>0.98399999999999999</v>
      </c>
      <c r="E61" s="400" t="s">
        <v>58</v>
      </c>
      <c r="F61" s="401" t="s">
        <v>212</v>
      </c>
    </row>
    <row r="62" spans="1:7" x14ac:dyDescent="0.2">
      <c r="A62" s="388" t="s">
        <v>543</v>
      </c>
      <c r="B62" s="389"/>
      <c r="C62" s="432">
        <v>0.22</v>
      </c>
      <c r="D62" s="390">
        <f>$B$61*$D$61*C62</f>
        <v>555.62189760000001</v>
      </c>
      <c r="E62" s="391" t="s">
        <v>113</v>
      </c>
      <c r="F62" s="387"/>
    </row>
    <row r="63" spans="1:7" x14ac:dyDescent="0.2">
      <c r="A63" s="388" t="s">
        <v>218</v>
      </c>
      <c r="B63" s="389" t="s">
        <v>189</v>
      </c>
      <c r="C63" s="432">
        <v>0.55000000000000004</v>
      </c>
      <c r="D63" s="671">
        <f t="shared" ref="D63:D67" si="3">$B$61*$D$61*C63</f>
        <v>1389.054744</v>
      </c>
      <c r="E63" s="391" t="s">
        <v>113</v>
      </c>
      <c r="F63" s="387"/>
    </row>
    <row r="64" spans="1:7" x14ac:dyDescent="0.2">
      <c r="A64" s="418" t="s">
        <v>509</v>
      </c>
      <c r="B64" s="589" t="s">
        <v>27</v>
      </c>
      <c r="C64" s="432">
        <v>0.15</v>
      </c>
      <c r="D64" s="671">
        <f t="shared" si="3"/>
        <v>378.83311199999997</v>
      </c>
      <c r="E64" s="391" t="s">
        <v>113</v>
      </c>
      <c r="F64" s="387"/>
    </row>
    <row r="65" spans="1:8" x14ac:dyDescent="0.2">
      <c r="A65" s="388" t="s">
        <v>257</v>
      </c>
      <c r="B65" s="389" t="s">
        <v>22</v>
      </c>
      <c r="C65" s="432">
        <v>0.08</v>
      </c>
      <c r="D65" s="671">
        <f t="shared" si="3"/>
        <v>202.04432639999999</v>
      </c>
      <c r="E65" s="391" t="s">
        <v>113</v>
      </c>
      <c r="F65" s="387"/>
    </row>
    <row r="66" spans="1:8" s="130" customFormat="1" x14ac:dyDescent="0.2">
      <c r="A66" s="388" t="s">
        <v>339</v>
      </c>
      <c r="B66" s="389" t="s">
        <v>191</v>
      </c>
      <c r="C66" s="432">
        <v>0</v>
      </c>
      <c r="D66" s="671">
        <f t="shared" si="3"/>
        <v>0</v>
      </c>
      <c r="E66" s="391" t="s">
        <v>113</v>
      </c>
      <c r="F66" s="387"/>
      <c r="G66" s="129"/>
    </row>
    <row r="67" spans="1:8" x14ac:dyDescent="0.2">
      <c r="A67" s="392" t="s">
        <v>340</v>
      </c>
      <c r="B67" s="322" t="s">
        <v>194</v>
      </c>
      <c r="C67" s="422">
        <v>0</v>
      </c>
      <c r="D67" s="672">
        <f t="shared" si="3"/>
        <v>0</v>
      </c>
      <c r="E67" s="421" t="s">
        <v>113</v>
      </c>
      <c r="F67" s="396"/>
    </row>
    <row r="68" spans="1:8" x14ac:dyDescent="0.2">
      <c r="A68" s="392" t="s">
        <v>79</v>
      </c>
      <c r="B68" s="322"/>
      <c r="C68" s="422">
        <f>SUM(C62:C67)</f>
        <v>1</v>
      </c>
      <c r="D68" s="394">
        <f>SUM(D62:D67)</f>
        <v>2525.5540799999999</v>
      </c>
      <c r="E68" s="395" t="s">
        <v>113</v>
      </c>
      <c r="F68" s="396"/>
      <c r="G68" s="323"/>
      <c r="H68" s="318"/>
    </row>
    <row r="69" spans="1:8" x14ac:dyDescent="0.2">
      <c r="A69" s="319" t="s">
        <v>434</v>
      </c>
      <c r="B69" s="398">
        <f>Paints!K21</f>
        <v>4348.8899999999994</v>
      </c>
      <c r="C69" s="399" t="s">
        <v>57</v>
      </c>
      <c r="D69" s="420">
        <v>0.98499999999999999</v>
      </c>
      <c r="E69" s="400" t="s">
        <v>58</v>
      </c>
      <c r="F69" s="401" t="s">
        <v>212</v>
      </c>
      <c r="G69" s="323"/>
    </row>
    <row r="70" spans="1:8" x14ac:dyDescent="0.2">
      <c r="A70" s="388" t="s">
        <v>62</v>
      </c>
      <c r="B70" s="389"/>
      <c r="C70" s="432">
        <v>0.39500000000000002</v>
      </c>
      <c r="D70" s="390">
        <f>$B$69*$D$69*C70</f>
        <v>1692.0443767499996</v>
      </c>
      <c r="E70" s="391" t="s">
        <v>113</v>
      </c>
      <c r="F70" s="387"/>
      <c r="G70" s="323"/>
    </row>
    <row r="71" spans="1:8" x14ac:dyDescent="0.2">
      <c r="A71" s="388" t="s">
        <v>405</v>
      </c>
      <c r="B71" s="389" t="s">
        <v>189</v>
      </c>
      <c r="C71" s="432">
        <v>0.3</v>
      </c>
      <c r="D71" s="671">
        <f t="shared" ref="D71:D76" si="4">$B$69*$D$69*C71</f>
        <v>1285.0969949999997</v>
      </c>
      <c r="E71" s="391" t="s">
        <v>113</v>
      </c>
      <c r="F71" s="387"/>
      <c r="G71" s="323"/>
    </row>
    <row r="72" spans="1:8" x14ac:dyDescent="0.2">
      <c r="A72" s="418" t="s">
        <v>516</v>
      </c>
      <c r="B72" s="389" t="s">
        <v>407</v>
      </c>
      <c r="C72" s="432">
        <v>0.1</v>
      </c>
      <c r="D72" s="671">
        <f t="shared" si="4"/>
        <v>428.36566499999992</v>
      </c>
      <c r="E72" s="391" t="s">
        <v>113</v>
      </c>
      <c r="F72" s="387"/>
      <c r="G72" s="323"/>
    </row>
    <row r="73" spans="1:8" x14ac:dyDescent="0.2">
      <c r="A73" s="418" t="s">
        <v>509</v>
      </c>
      <c r="B73" s="389" t="s">
        <v>27</v>
      </c>
      <c r="C73" s="432">
        <v>0.1</v>
      </c>
      <c r="D73" s="671">
        <f t="shared" si="4"/>
        <v>428.36566499999992</v>
      </c>
      <c r="E73" s="391" t="s">
        <v>113</v>
      </c>
      <c r="F73" s="387"/>
      <c r="G73" s="323"/>
    </row>
    <row r="74" spans="1:8" s="130" customFormat="1" x14ac:dyDescent="0.2">
      <c r="A74" s="388" t="s">
        <v>406</v>
      </c>
      <c r="B74" s="389" t="s">
        <v>191</v>
      </c>
      <c r="C74" s="432">
        <v>0.05</v>
      </c>
      <c r="D74" s="671">
        <f t="shared" si="4"/>
        <v>214.18283249999996</v>
      </c>
      <c r="E74" s="391" t="s">
        <v>113</v>
      </c>
      <c r="F74" s="387"/>
      <c r="G74" s="323"/>
    </row>
    <row r="75" spans="1:8" x14ac:dyDescent="0.2">
      <c r="A75" s="418" t="s">
        <v>410</v>
      </c>
      <c r="B75" s="589" t="s">
        <v>31</v>
      </c>
      <c r="C75" s="432">
        <v>0.05</v>
      </c>
      <c r="D75" s="671">
        <f t="shared" si="4"/>
        <v>214.18283249999996</v>
      </c>
      <c r="E75" s="391" t="s">
        <v>113</v>
      </c>
      <c r="F75" s="387"/>
      <c r="G75" s="323"/>
    </row>
    <row r="76" spans="1:8" x14ac:dyDescent="0.2">
      <c r="A76" s="425" t="s">
        <v>108</v>
      </c>
      <c r="B76" s="322" t="s">
        <v>214</v>
      </c>
      <c r="C76" s="422">
        <v>5.0000000000000001E-3</v>
      </c>
      <c r="D76" s="672">
        <f t="shared" si="4"/>
        <v>21.418283249999995</v>
      </c>
      <c r="E76" s="395" t="s">
        <v>113</v>
      </c>
      <c r="F76" s="396"/>
      <c r="G76" s="323"/>
    </row>
    <row r="77" spans="1:8" x14ac:dyDescent="0.2">
      <c r="A77" s="392" t="s">
        <v>79</v>
      </c>
      <c r="B77" s="322"/>
      <c r="C77" s="422">
        <f>SUM(C70:C76)</f>
        <v>1</v>
      </c>
      <c r="D77" s="394">
        <f>SUM(D70:D76)</f>
        <v>4283.656649999999</v>
      </c>
      <c r="E77" s="395" t="s">
        <v>113</v>
      </c>
      <c r="F77" s="396"/>
      <c r="G77" s="323"/>
    </row>
    <row r="78" spans="1:8" x14ac:dyDescent="0.2">
      <c r="A78" s="382">
        <v>3090</v>
      </c>
      <c r="B78" s="398">
        <f>Paints!L21</f>
        <v>1041</v>
      </c>
      <c r="C78" s="320"/>
      <c r="D78" s="407">
        <v>0.98099999999999998</v>
      </c>
      <c r="E78" s="400" t="s">
        <v>58</v>
      </c>
      <c r="F78" s="401" t="s">
        <v>212</v>
      </c>
    </row>
    <row r="79" spans="1:8" s="130" customFormat="1" x14ac:dyDescent="0.2">
      <c r="A79" s="595" t="s">
        <v>62</v>
      </c>
      <c r="B79" s="589"/>
      <c r="C79" s="384">
        <v>0.28000000000000003</v>
      </c>
      <c r="D79" s="390">
        <f>D87-SUM(D80:D86)</f>
        <v>286.35036840000009</v>
      </c>
      <c r="E79" s="391" t="s">
        <v>113</v>
      </c>
      <c r="F79" s="387"/>
      <c r="G79" s="129"/>
    </row>
    <row r="80" spans="1:8" x14ac:dyDescent="0.2">
      <c r="A80" s="418" t="s">
        <v>513</v>
      </c>
      <c r="B80" s="589" t="s">
        <v>30</v>
      </c>
      <c r="C80" s="384">
        <v>0.2</v>
      </c>
      <c r="D80" s="674">
        <f>D$87*C80</f>
        <v>204.24420000000001</v>
      </c>
      <c r="E80" s="391" t="s">
        <v>113</v>
      </c>
      <c r="F80" s="387"/>
    </row>
    <row r="81" spans="1:7" x14ac:dyDescent="0.2">
      <c r="A81" s="418" t="s">
        <v>416</v>
      </c>
      <c r="B81" s="589" t="s">
        <v>418</v>
      </c>
      <c r="C81" s="384">
        <v>0.2</v>
      </c>
      <c r="D81" s="674">
        <f t="shared" ref="D81:D86" si="5">D$87*C81</f>
        <v>204.24420000000001</v>
      </c>
      <c r="E81" s="391" t="s">
        <v>113</v>
      </c>
      <c r="F81" s="387"/>
    </row>
    <row r="82" spans="1:7" x14ac:dyDescent="0.2">
      <c r="A82" s="418" t="s">
        <v>514</v>
      </c>
      <c r="B82" s="589" t="s">
        <v>32</v>
      </c>
      <c r="C82" s="384">
        <v>0.19800000000000001</v>
      </c>
      <c r="D82" s="674">
        <f t="shared" si="5"/>
        <v>202.20175800000001</v>
      </c>
      <c r="E82" s="391" t="s">
        <v>113</v>
      </c>
      <c r="F82" s="387"/>
    </row>
    <row r="83" spans="1:7" x14ac:dyDescent="0.2">
      <c r="A83" s="418" t="s">
        <v>515</v>
      </c>
      <c r="B83" s="589" t="s">
        <v>417</v>
      </c>
      <c r="C83" s="384">
        <v>3.7999999999999999E-2</v>
      </c>
      <c r="D83" s="674">
        <f t="shared" si="5"/>
        <v>38.806398000000002</v>
      </c>
      <c r="E83" s="391" t="s">
        <v>113</v>
      </c>
      <c r="F83" s="387"/>
    </row>
    <row r="84" spans="1:7" x14ac:dyDescent="0.2">
      <c r="A84" s="424" t="s">
        <v>218</v>
      </c>
      <c r="B84" s="589" t="s">
        <v>189</v>
      </c>
      <c r="C84" s="384">
        <v>3.7999999999999999E-2</v>
      </c>
      <c r="D84" s="674">
        <f t="shared" si="5"/>
        <v>38.806398000000002</v>
      </c>
      <c r="E84" s="391" t="s">
        <v>113</v>
      </c>
      <c r="F84" s="387"/>
    </row>
    <row r="85" spans="1:7" x14ac:dyDescent="0.2">
      <c r="A85" s="388" t="s">
        <v>408</v>
      </c>
      <c r="B85" s="389" t="s">
        <v>29</v>
      </c>
      <c r="C85" s="384">
        <v>3.7999999999999999E-2</v>
      </c>
      <c r="D85" s="674">
        <f t="shared" si="5"/>
        <v>38.806398000000002</v>
      </c>
      <c r="E85" s="391" t="s">
        <v>113</v>
      </c>
      <c r="F85" s="387"/>
    </row>
    <row r="86" spans="1:7" x14ac:dyDescent="0.2">
      <c r="A86" s="392" t="s">
        <v>409</v>
      </c>
      <c r="B86" s="322" t="s">
        <v>94</v>
      </c>
      <c r="C86" s="596">
        <f>C85/5</f>
        <v>7.6E-3</v>
      </c>
      <c r="D86" s="681">
        <f t="shared" si="5"/>
        <v>7.7612795999999999</v>
      </c>
      <c r="E86" s="395" t="s">
        <v>113</v>
      </c>
      <c r="F86" s="396"/>
    </row>
    <row r="87" spans="1:7" x14ac:dyDescent="0.2">
      <c r="A87" s="418"/>
      <c r="B87" s="589"/>
      <c r="C87" s="597">
        <f>SUM(C79:C86)</f>
        <v>0.99960000000000027</v>
      </c>
      <c r="D87" s="402">
        <f>B78*D78</f>
        <v>1021.221</v>
      </c>
      <c r="E87" s="395" t="s">
        <v>113</v>
      </c>
      <c r="F87" s="396"/>
      <c r="G87" s="136"/>
    </row>
    <row r="88" spans="1:7" x14ac:dyDescent="0.2">
      <c r="A88" s="319" t="s">
        <v>533</v>
      </c>
      <c r="B88" s="398">
        <f>Paints!M21</f>
        <v>1457.3999999999999</v>
      </c>
      <c r="C88" s="399" t="s">
        <v>57</v>
      </c>
      <c r="D88" s="420">
        <v>0.97899999999999998</v>
      </c>
      <c r="E88" s="400" t="s">
        <v>58</v>
      </c>
      <c r="F88" s="401" t="s">
        <v>212</v>
      </c>
      <c r="G88" s="136"/>
    </row>
    <row r="89" spans="1:7" x14ac:dyDescent="0.2">
      <c r="A89" s="388" t="s">
        <v>62</v>
      </c>
      <c r="B89" s="389"/>
      <c r="C89" s="320">
        <v>0.38</v>
      </c>
      <c r="D89" s="390">
        <f>D97-SUM(D90:D96)</f>
        <v>542.18194799999981</v>
      </c>
      <c r="E89" s="391" t="s">
        <v>113</v>
      </c>
      <c r="F89" s="387"/>
      <c r="G89" s="136"/>
    </row>
    <row r="90" spans="1:7" x14ac:dyDescent="0.2">
      <c r="A90" s="418" t="s">
        <v>517</v>
      </c>
      <c r="B90" s="589" t="s">
        <v>417</v>
      </c>
      <c r="C90" s="320">
        <v>0.05</v>
      </c>
      <c r="D90" s="671">
        <f>D$97*C90</f>
        <v>71.339730000000003</v>
      </c>
      <c r="E90" s="391" t="s">
        <v>113</v>
      </c>
      <c r="F90" s="387"/>
      <c r="G90" s="136"/>
    </row>
    <row r="91" spans="1:7" x14ac:dyDescent="0.2">
      <c r="A91" s="418" t="s">
        <v>416</v>
      </c>
      <c r="B91" s="589" t="s">
        <v>418</v>
      </c>
      <c r="C91" s="320">
        <v>0.2</v>
      </c>
      <c r="D91" s="671">
        <f t="shared" ref="D91:D96" si="6">D$97*C91</f>
        <v>285.35892000000001</v>
      </c>
      <c r="E91" s="391" t="s">
        <v>113</v>
      </c>
      <c r="F91" s="387"/>
      <c r="G91" s="136"/>
    </row>
    <row r="92" spans="1:7" x14ac:dyDescent="0.2">
      <c r="A92" s="418" t="s">
        <v>513</v>
      </c>
      <c r="B92" s="589" t="s">
        <v>30</v>
      </c>
      <c r="C92" s="320">
        <v>0.15</v>
      </c>
      <c r="D92" s="671">
        <f t="shared" si="6"/>
        <v>214.01918999999998</v>
      </c>
      <c r="E92" s="391" t="s">
        <v>113</v>
      </c>
      <c r="F92" s="387"/>
      <c r="G92" s="136"/>
    </row>
    <row r="93" spans="1:7" x14ac:dyDescent="0.2">
      <c r="A93" s="424" t="s">
        <v>514</v>
      </c>
      <c r="B93" s="589" t="s">
        <v>32</v>
      </c>
      <c r="C93" s="320">
        <v>0.15</v>
      </c>
      <c r="D93" s="671">
        <f t="shared" si="6"/>
        <v>214.01918999999998</v>
      </c>
      <c r="E93" s="391" t="s">
        <v>113</v>
      </c>
      <c r="F93" s="387"/>
      <c r="G93" s="136"/>
    </row>
    <row r="94" spans="1:7" x14ac:dyDescent="0.2">
      <c r="A94" s="424" t="s">
        <v>218</v>
      </c>
      <c r="B94" s="589" t="s">
        <v>189</v>
      </c>
      <c r="C94" s="320">
        <v>0.03</v>
      </c>
      <c r="D94" s="671">
        <f t="shared" si="6"/>
        <v>42.803837999999999</v>
      </c>
      <c r="E94" s="391" t="s">
        <v>113</v>
      </c>
      <c r="F94" s="387"/>
      <c r="G94" s="136"/>
    </row>
    <row r="95" spans="1:7" x14ac:dyDescent="0.2">
      <c r="A95" s="424" t="s">
        <v>74</v>
      </c>
      <c r="B95" s="589" t="s">
        <v>29</v>
      </c>
      <c r="C95" s="320">
        <v>0.03</v>
      </c>
      <c r="D95" s="671">
        <f t="shared" si="6"/>
        <v>42.803837999999999</v>
      </c>
      <c r="E95" s="391" t="s">
        <v>113</v>
      </c>
      <c r="F95" s="387"/>
      <c r="G95" s="136"/>
    </row>
    <row r="96" spans="1:7" x14ac:dyDescent="0.2">
      <c r="A96" s="425" t="s">
        <v>409</v>
      </c>
      <c r="B96" s="393" t="s">
        <v>94</v>
      </c>
      <c r="C96" s="321">
        <v>0.01</v>
      </c>
      <c r="D96" s="671">
        <f t="shared" si="6"/>
        <v>14.267946</v>
      </c>
      <c r="E96" s="395" t="s">
        <v>113</v>
      </c>
      <c r="F96" s="396"/>
      <c r="G96" s="136"/>
    </row>
    <row r="97" spans="1:7" x14ac:dyDescent="0.2">
      <c r="A97" s="438" t="s">
        <v>79</v>
      </c>
      <c r="B97" s="439"/>
      <c r="C97" s="440">
        <f>SUM(C89:C96)</f>
        <v>1</v>
      </c>
      <c r="D97" s="441">
        <f>B88*D88</f>
        <v>1426.7945999999999</v>
      </c>
      <c r="E97" s="442" t="s">
        <v>113</v>
      </c>
      <c r="F97" s="443"/>
      <c r="G97" s="136"/>
    </row>
    <row r="98" spans="1:7" x14ac:dyDescent="0.2">
      <c r="A98" s="319" t="s">
        <v>315</v>
      </c>
      <c r="B98" s="398">
        <f>Paints!N21</f>
        <v>0</v>
      </c>
      <c r="C98" s="423" t="s">
        <v>57</v>
      </c>
      <c r="D98" s="420">
        <v>0.93300000000000005</v>
      </c>
      <c r="E98" s="400" t="s">
        <v>58</v>
      </c>
      <c r="F98" s="401" t="s">
        <v>212</v>
      </c>
    </row>
    <row r="99" spans="1:7" x14ac:dyDescent="0.2">
      <c r="A99" s="388" t="s">
        <v>62</v>
      </c>
      <c r="B99" s="389"/>
      <c r="C99" s="320">
        <v>0.37</v>
      </c>
      <c r="D99" s="390">
        <f t="shared" ref="D99:D104" si="7">B$98*D$98*C99</f>
        <v>0</v>
      </c>
      <c r="E99" s="391" t="s">
        <v>113</v>
      </c>
      <c r="F99" s="387"/>
    </row>
    <row r="100" spans="1:7" x14ac:dyDescent="0.2">
      <c r="A100" s="418" t="s">
        <v>513</v>
      </c>
      <c r="B100" s="589" t="s">
        <v>30</v>
      </c>
      <c r="C100" s="320">
        <v>0.36</v>
      </c>
      <c r="D100" s="671">
        <f t="shared" si="7"/>
        <v>0</v>
      </c>
      <c r="E100" s="391" t="s">
        <v>113</v>
      </c>
      <c r="F100" s="387"/>
    </row>
    <row r="101" spans="1:7" x14ac:dyDescent="0.2">
      <c r="A101" s="418" t="s">
        <v>514</v>
      </c>
      <c r="B101" s="589" t="s">
        <v>32</v>
      </c>
      <c r="C101" s="320">
        <v>0.12</v>
      </c>
      <c r="D101" s="671">
        <f t="shared" si="7"/>
        <v>0</v>
      </c>
      <c r="E101" s="391" t="s">
        <v>113</v>
      </c>
      <c r="F101" s="387"/>
    </row>
    <row r="102" spans="1:7" x14ac:dyDescent="0.2">
      <c r="A102" s="418" t="s">
        <v>515</v>
      </c>
      <c r="B102" s="589" t="s">
        <v>417</v>
      </c>
      <c r="C102" s="320">
        <v>7.0000000000000007E-2</v>
      </c>
      <c r="D102" s="671">
        <f t="shared" si="7"/>
        <v>0</v>
      </c>
      <c r="E102" s="391" t="s">
        <v>113</v>
      </c>
      <c r="F102" s="387"/>
    </row>
    <row r="103" spans="1:7" x14ac:dyDescent="0.2">
      <c r="A103" s="418" t="s">
        <v>416</v>
      </c>
      <c r="B103" s="589" t="s">
        <v>418</v>
      </c>
      <c r="C103" s="320">
        <v>0.04</v>
      </c>
      <c r="D103" s="671">
        <f t="shared" si="7"/>
        <v>0</v>
      </c>
      <c r="E103" s="391" t="s">
        <v>113</v>
      </c>
      <c r="F103" s="387"/>
    </row>
    <row r="104" spans="1:7" x14ac:dyDescent="0.2">
      <c r="A104" s="392" t="s">
        <v>101</v>
      </c>
      <c r="B104" s="322" t="s">
        <v>27</v>
      </c>
      <c r="C104" s="321">
        <v>0.04</v>
      </c>
      <c r="D104" s="672">
        <f t="shared" si="7"/>
        <v>0</v>
      </c>
      <c r="E104" s="395" t="s">
        <v>113</v>
      </c>
      <c r="F104" s="396"/>
    </row>
    <row r="105" spans="1:7" x14ac:dyDescent="0.2">
      <c r="A105" s="392" t="s">
        <v>79</v>
      </c>
      <c r="B105" s="322"/>
      <c r="C105" s="397">
        <f>SUM(C99:C104)</f>
        <v>1</v>
      </c>
      <c r="D105" s="394">
        <f>SUM(D99:D104)</f>
        <v>0</v>
      </c>
      <c r="E105" s="395" t="s">
        <v>113</v>
      </c>
      <c r="F105" s="396"/>
      <c r="G105" s="323"/>
    </row>
    <row r="106" spans="1:7" x14ac:dyDescent="0.2">
      <c r="A106" s="319" t="s">
        <v>550</v>
      </c>
      <c r="B106" s="398">
        <f>Paints!O21</f>
        <v>4164</v>
      </c>
      <c r="C106" s="423" t="s">
        <v>57</v>
      </c>
      <c r="D106" s="420">
        <v>0.93899999999999995</v>
      </c>
      <c r="E106" s="400" t="s">
        <v>58</v>
      </c>
      <c r="F106" s="401" t="s">
        <v>212</v>
      </c>
      <c r="G106" s="323"/>
    </row>
    <row r="107" spans="1:7" x14ac:dyDescent="0.2">
      <c r="A107" s="388" t="s">
        <v>62</v>
      </c>
      <c r="B107" s="389"/>
      <c r="C107" s="320">
        <v>0.37</v>
      </c>
      <c r="D107" s="390">
        <f>D116-SUM(D108:D115)</f>
        <v>1446.6985199999995</v>
      </c>
      <c r="E107" s="391" t="s">
        <v>113</v>
      </c>
      <c r="F107" s="387"/>
      <c r="G107" s="323"/>
    </row>
    <row r="108" spans="1:7" x14ac:dyDescent="0.2">
      <c r="A108" s="418" t="s">
        <v>416</v>
      </c>
      <c r="B108" s="589" t="s">
        <v>418</v>
      </c>
      <c r="C108" s="576">
        <v>0.25</v>
      </c>
      <c r="D108" s="671">
        <f>D$116*C108</f>
        <v>977.49899999999991</v>
      </c>
      <c r="E108" s="391" t="s">
        <v>113</v>
      </c>
      <c r="F108" s="387"/>
      <c r="G108" s="323"/>
    </row>
    <row r="109" spans="1:7" x14ac:dyDescent="0.2">
      <c r="A109" s="418" t="s">
        <v>385</v>
      </c>
      <c r="B109" s="589" t="s">
        <v>386</v>
      </c>
      <c r="C109" s="576">
        <v>0.15</v>
      </c>
      <c r="D109" s="671">
        <f t="shared" ref="D109:D114" si="8">D$116*C109</f>
        <v>586.49939999999992</v>
      </c>
      <c r="E109" s="391" t="s">
        <v>113</v>
      </c>
      <c r="F109" s="387"/>
      <c r="G109" s="323"/>
    </row>
    <row r="110" spans="1:7" x14ac:dyDescent="0.2">
      <c r="A110" s="418" t="s">
        <v>513</v>
      </c>
      <c r="B110" s="589" t="s">
        <v>30</v>
      </c>
      <c r="C110" s="576">
        <v>0.04</v>
      </c>
      <c r="D110" s="671">
        <f t="shared" si="8"/>
        <v>156.39983999999998</v>
      </c>
      <c r="E110" s="391" t="s">
        <v>113</v>
      </c>
      <c r="F110" s="387"/>
      <c r="G110" s="323"/>
    </row>
    <row r="111" spans="1:7" x14ac:dyDescent="0.2">
      <c r="A111" s="424" t="s">
        <v>218</v>
      </c>
      <c r="B111" s="589" t="s">
        <v>189</v>
      </c>
      <c r="C111" s="576">
        <v>0.04</v>
      </c>
      <c r="D111" s="671">
        <f t="shared" si="8"/>
        <v>156.39983999999998</v>
      </c>
      <c r="E111" s="391" t="s">
        <v>113</v>
      </c>
      <c r="F111" s="387"/>
      <c r="G111" s="323"/>
    </row>
    <row r="112" spans="1:7" x14ac:dyDescent="0.2">
      <c r="A112" s="424" t="s">
        <v>514</v>
      </c>
      <c r="B112" s="589" t="s">
        <v>32</v>
      </c>
      <c r="C112" s="576">
        <v>0.04</v>
      </c>
      <c r="D112" s="671">
        <f t="shared" si="8"/>
        <v>156.39983999999998</v>
      </c>
      <c r="E112" s="391" t="s">
        <v>113</v>
      </c>
      <c r="F112" s="387"/>
      <c r="G112" s="323"/>
    </row>
    <row r="113" spans="1:7" x14ac:dyDescent="0.2">
      <c r="A113" s="424" t="s">
        <v>74</v>
      </c>
      <c r="B113" s="589" t="s">
        <v>29</v>
      </c>
      <c r="C113" s="576">
        <v>0.04</v>
      </c>
      <c r="D113" s="671">
        <f t="shared" si="8"/>
        <v>156.39983999999998</v>
      </c>
      <c r="E113" s="391" t="s">
        <v>113</v>
      </c>
      <c r="F113" s="387"/>
      <c r="G113" s="323"/>
    </row>
    <row r="114" spans="1:7" x14ac:dyDescent="0.2">
      <c r="A114" s="418" t="s">
        <v>515</v>
      </c>
      <c r="B114" s="589" t="s">
        <v>417</v>
      </c>
      <c r="C114" s="576">
        <v>0.04</v>
      </c>
      <c r="D114" s="671">
        <f t="shared" si="8"/>
        <v>156.39983999999998</v>
      </c>
      <c r="E114" s="391" t="s">
        <v>113</v>
      </c>
      <c r="F114" s="387"/>
      <c r="G114" s="323"/>
    </row>
    <row r="115" spans="1:7" x14ac:dyDescent="0.2">
      <c r="A115" s="425" t="s">
        <v>409</v>
      </c>
      <c r="B115" s="393" t="s">
        <v>94</v>
      </c>
      <c r="C115" s="321">
        <v>0.03</v>
      </c>
      <c r="D115" s="671">
        <f>D$116*C115</f>
        <v>117.29987999999999</v>
      </c>
      <c r="E115" s="395" t="s">
        <v>113</v>
      </c>
      <c r="F115" s="396"/>
      <c r="G115" s="323"/>
    </row>
    <row r="116" spans="1:7" x14ac:dyDescent="0.2">
      <c r="A116" s="438" t="s">
        <v>79</v>
      </c>
      <c r="B116" s="439"/>
      <c r="C116" s="440">
        <f>SUM(C107:C115)</f>
        <v>1.0000000000000002</v>
      </c>
      <c r="D116" s="441">
        <f>B106*D106</f>
        <v>3909.9959999999996</v>
      </c>
      <c r="E116" s="442" t="s">
        <v>113</v>
      </c>
      <c r="F116" s="443"/>
      <c r="G116" s="323"/>
    </row>
    <row r="117" spans="1:7" x14ac:dyDescent="0.2">
      <c r="A117" s="319">
        <v>3141</v>
      </c>
      <c r="B117" s="398">
        <f>Paints!P21</f>
        <v>1833.3</v>
      </c>
      <c r="C117" s="399" t="s">
        <v>57</v>
      </c>
      <c r="D117" s="420">
        <v>0.96299999999999997</v>
      </c>
      <c r="E117" s="400" t="s">
        <v>58</v>
      </c>
      <c r="F117" s="401" t="s">
        <v>212</v>
      </c>
    </row>
    <row r="118" spans="1:7" x14ac:dyDescent="0.2">
      <c r="A118" s="388" t="s">
        <v>62</v>
      </c>
      <c r="B118" s="389"/>
      <c r="C118" s="320">
        <v>0.26</v>
      </c>
      <c r="D118" s="390">
        <f t="shared" ref="D118:D126" si="9">B$117*D$117*C118</f>
        <v>459.02165399999996</v>
      </c>
      <c r="E118" s="391" t="s">
        <v>113</v>
      </c>
      <c r="F118" s="387"/>
    </row>
    <row r="119" spans="1:7" x14ac:dyDescent="0.2">
      <c r="A119" s="418" t="s">
        <v>411</v>
      </c>
      <c r="B119" s="589" t="s">
        <v>510</v>
      </c>
      <c r="C119" s="320">
        <v>0.05</v>
      </c>
      <c r="D119" s="671">
        <f t="shared" si="9"/>
        <v>88.273394999999994</v>
      </c>
      <c r="E119" s="391" t="s">
        <v>113</v>
      </c>
      <c r="F119" s="387"/>
    </row>
    <row r="120" spans="1:7" x14ac:dyDescent="0.2">
      <c r="A120" s="388" t="s">
        <v>70</v>
      </c>
      <c r="B120" s="389" t="s">
        <v>20</v>
      </c>
      <c r="C120" s="320">
        <v>0.02</v>
      </c>
      <c r="D120" s="671">
        <f t="shared" si="9"/>
        <v>35.309357999999996</v>
      </c>
      <c r="E120" s="391" t="s">
        <v>113</v>
      </c>
      <c r="F120" s="387"/>
    </row>
    <row r="121" spans="1:7" x14ac:dyDescent="0.2">
      <c r="A121" s="388" t="s">
        <v>222</v>
      </c>
      <c r="B121" s="389" t="s">
        <v>194</v>
      </c>
      <c r="C121" s="320">
        <v>0.05</v>
      </c>
      <c r="D121" s="671">
        <f t="shared" si="9"/>
        <v>88.273394999999994</v>
      </c>
      <c r="E121" s="391" t="s">
        <v>113</v>
      </c>
      <c r="F121" s="387"/>
    </row>
    <row r="122" spans="1:7" x14ac:dyDescent="0.2">
      <c r="A122" s="388" t="s">
        <v>226</v>
      </c>
      <c r="B122" s="389" t="s">
        <v>171</v>
      </c>
      <c r="C122" s="320">
        <v>0.1</v>
      </c>
      <c r="D122" s="671">
        <f t="shared" si="9"/>
        <v>176.54678999999999</v>
      </c>
      <c r="E122" s="391" t="s">
        <v>113</v>
      </c>
      <c r="F122" s="387"/>
    </row>
    <row r="123" spans="1:7" x14ac:dyDescent="0.2">
      <c r="A123" s="388" t="s">
        <v>221</v>
      </c>
      <c r="B123" s="389" t="s">
        <v>189</v>
      </c>
      <c r="C123" s="320">
        <v>0.02</v>
      </c>
      <c r="D123" s="671">
        <f t="shared" si="9"/>
        <v>35.309357999999996</v>
      </c>
      <c r="E123" s="391" t="s">
        <v>113</v>
      </c>
      <c r="F123" s="387"/>
    </row>
    <row r="124" spans="1:7" x14ac:dyDescent="0.2">
      <c r="A124" s="388" t="s">
        <v>54</v>
      </c>
      <c r="B124" s="389" t="s">
        <v>34</v>
      </c>
      <c r="C124" s="320">
        <v>0.2</v>
      </c>
      <c r="D124" s="671">
        <f t="shared" si="9"/>
        <v>353.09357999999997</v>
      </c>
      <c r="E124" s="391" t="s">
        <v>113</v>
      </c>
      <c r="F124" s="387"/>
    </row>
    <row r="125" spans="1:7" x14ac:dyDescent="0.2">
      <c r="A125" s="418" t="s">
        <v>511</v>
      </c>
      <c r="B125" s="589" t="s">
        <v>512</v>
      </c>
      <c r="C125" s="320">
        <v>0.02</v>
      </c>
      <c r="D125" s="671">
        <f t="shared" si="9"/>
        <v>35.309357999999996</v>
      </c>
      <c r="E125" s="391" t="s">
        <v>113</v>
      </c>
      <c r="F125" s="387"/>
    </row>
    <row r="126" spans="1:7" x14ac:dyDescent="0.2">
      <c r="A126" s="392" t="s">
        <v>220</v>
      </c>
      <c r="B126" s="322" t="s">
        <v>191</v>
      </c>
      <c r="C126" s="321">
        <v>0.28000000000000003</v>
      </c>
      <c r="D126" s="672">
        <f t="shared" si="9"/>
        <v>494.33101199999999</v>
      </c>
      <c r="E126" s="395" t="s">
        <v>113</v>
      </c>
      <c r="F126" s="396"/>
    </row>
    <row r="127" spans="1:7" x14ac:dyDescent="0.2">
      <c r="A127" s="392" t="s">
        <v>79</v>
      </c>
      <c r="B127" s="322"/>
      <c r="C127" s="397">
        <f>SUM(C118:C126)</f>
        <v>1</v>
      </c>
      <c r="D127" s="394">
        <f>SUM(D118:D126)</f>
        <v>1765.4679000000001</v>
      </c>
      <c r="E127" s="395" t="s">
        <v>113</v>
      </c>
      <c r="F127" s="396"/>
      <c r="G127" s="136"/>
    </row>
    <row r="128" spans="1:7" x14ac:dyDescent="0.2">
      <c r="A128" s="382" t="s">
        <v>508</v>
      </c>
      <c r="B128" s="402">
        <f>Paints!Q21</f>
        <v>283.5</v>
      </c>
      <c r="C128" s="403" t="s">
        <v>57</v>
      </c>
      <c r="D128" s="402">
        <v>0.995</v>
      </c>
      <c r="E128" s="404" t="s">
        <v>58</v>
      </c>
      <c r="F128" s="387" t="s">
        <v>212</v>
      </c>
    </row>
    <row r="129" spans="1:7" x14ac:dyDescent="0.2">
      <c r="A129" s="388" t="s">
        <v>62</v>
      </c>
      <c r="B129" s="389"/>
      <c r="C129" s="320">
        <v>0.06</v>
      </c>
      <c r="D129" s="390">
        <f>D135-SUM(D130:D134)</f>
        <v>16.924949999999967</v>
      </c>
      <c r="E129" s="391" t="s">
        <v>113</v>
      </c>
      <c r="F129" s="387"/>
    </row>
    <row r="130" spans="1:7" x14ac:dyDescent="0.2">
      <c r="A130" s="595" t="s">
        <v>339</v>
      </c>
      <c r="B130" s="589" t="s">
        <v>191</v>
      </c>
      <c r="C130" s="320">
        <v>0.55000000000000004</v>
      </c>
      <c r="D130" s="671">
        <f>D$135*C130</f>
        <v>155.145375</v>
      </c>
      <c r="E130" s="391" t="s">
        <v>113</v>
      </c>
      <c r="F130" s="387"/>
    </row>
    <row r="131" spans="1:7" x14ac:dyDescent="0.2">
      <c r="A131" s="595" t="s">
        <v>340</v>
      </c>
      <c r="B131" s="589" t="s">
        <v>194</v>
      </c>
      <c r="C131" s="320">
        <v>0.15</v>
      </c>
      <c r="D131" s="671">
        <f t="shared" ref="D131:D134" si="10">D$135*C131</f>
        <v>42.312374999999996</v>
      </c>
      <c r="E131" s="391" t="s">
        <v>113</v>
      </c>
      <c r="F131" s="387"/>
      <c r="G131" s="130"/>
    </row>
    <row r="132" spans="1:7" x14ac:dyDescent="0.2">
      <c r="A132" s="595" t="s">
        <v>70</v>
      </c>
      <c r="B132" s="589" t="s">
        <v>20</v>
      </c>
      <c r="C132" s="320">
        <v>0.08</v>
      </c>
      <c r="D132" s="671">
        <f t="shared" si="10"/>
        <v>22.566599999999998</v>
      </c>
      <c r="E132" s="391" t="s">
        <v>113</v>
      </c>
      <c r="F132" s="387"/>
    </row>
    <row r="133" spans="1:7" x14ac:dyDescent="0.2">
      <c r="A133" s="595" t="s">
        <v>556</v>
      </c>
      <c r="B133" s="589" t="s">
        <v>512</v>
      </c>
      <c r="C133" s="320">
        <v>0.08</v>
      </c>
      <c r="D133" s="671">
        <f t="shared" si="10"/>
        <v>22.566599999999998</v>
      </c>
      <c r="E133" s="391" t="s">
        <v>113</v>
      </c>
      <c r="F133" s="387"/>
    </row>
    <row r="134" spans="1:7" x14ac:dyDescent="0.2">
      <c r="A134" s="392" t="s">
        <v>221</v>
      </c>
      <c r="B134" s="322" t="s">
        <v>189</v>
      </c>
      <c r="C134" s="321">
        <v>0.08</v>
      </c>
      <c r="D134" s="672">
        <f t="shared" si="10"/>
        <v>22.566599999999998</v>
      </c>
      <c r="E134" s="395" t="s">
        <v>113</v>
      </c>
      <c r="F134" s="396"/>
    </row>
    <row r="135" spans="1:7" x14ac:dyDescent="0.2">
      <c r="A135" s="392" t="s">
        <v>79</v>
      </c>
      <c r="B135" s="322"/>
      <c r="C135" s="321">
        <f>SUM(C129:C134)</f>
        <v>1</v>
      </c>
      <c r="D135" s="394">
        <f>B128*D128</f>
        <v>282.08249999999998</v>
      </c>
      <c r="E135" s="395" t="s">
        <v>113</v>
      </c>
      <c r="F135" s="396"/>
    </row>
    <row r="136" spans="1:7" x14ac:dyDescent="0.2">
      <c r="A136" s="319">
        <v>7604</v>
      </c>
      <c r="B136" s="398">
        <f>Paints!R21</f>
        <v>30.32</v>
      </c>
      <c r="C136" s="399" t="s">
        <v>57</v>
      </c>
      <c r="D136" s="420">
        <v>0.91200000000000003</v>
      </c>
      <c r="E136" s="400" t="s">
        <v>58</v>
      </c>
      <c r="F136" s="401" t="s">
        <v>212</v>
      </c>
      <c r="G136" s="323"/>
    </row>
    <row r="137" spans="1:7" x14ac:dyDescent="0.2">
      <c r="A137" s="418" t="s">
        <v>411</v>
      </c>
      <c r="B137" s="589" t="s">
        <v>412</v>
      </c>
      <c r="C137" s="384">
        <v>0.65</v>
      </c>
      <c r="D137" s="674">
        <f>D139*C137</f>
        <v>17.973696</v>
      </c>
      <c r="E137" s="386" t="s">
        <v>113</v>
      </c>
      <c r="F137" s="387"/>
      <c r="G137" s="323"/>
    </row>
    <row r="138" spans="1:7" x14ac:dyDescent="0.2">
      <c r="A138" s="392" t="s">
        <v>413</v>
      </c>
      <c r="B138" s="322" t="s">
        <v>414</v>
      </c>
      <c r="C138" s="321">
        <v>0.35</v>
      </c>
      <c r="D138" s="672">
        <f>D139*C138</f>
        <v>9.6781439999999996</v>
      </c>
      <c r="E138" s="421" t="s">
        <v>113</v>
      </c>
      <c r="F138" s="396"/>
      <c r="G138" s="323"/>
    </row>
    <row r="139" spans="1:7" ht="13.5" thickBot="1" x14ac:dyDescent="0.25">
      <c r="A139" s="562" t="s">
        <v>79</v>
      </c>
      <c r="B139" s="500"/>
      <c r="C139" s="563">
        <f>SUM(C137:C138)</f>
        <v>1</v>
      </c>
      <c r="D139" s="502">
        <f>B136*D136</f>
        <v>27.65184</v>
      </c>
      <c r="E139" s="582" t="s">
        <v>113</v>
      </c>
      <c r="F139" s="504"/>
      <c r="G139" s="323"/>
    </row>
    <row r="140" spans="1:7" ht="13.5" thickBot="1" x14ac:dyDescent="0.25">
      <c r="A140" s="414"/>
      <c r="B140" s="415"/>
      <c r="C140" s="416"/>
      <c r="D140" s="417"/>
      <c r="E140" s="414"/>
      <c r="F140" s="377"/>
      <c r="G140" s="130"/>
    </row>
    <row r="141" spans="1:7" ht="13.5" thickBot="1" x14ac:dyDescent="0.25">
      <c r="A141" s="577" t="s">
        <v>535</v>
      </c>
      <c r="B141" s="415"/>
      <c r="C141" s="416"/>
      <c r="D141" s="417"/>
      <c r="E141" s="414"/>
      <c r="F141" s="381"/>
      <c r="G141" s="130"/>
    </row>
    <row r="142" spans="1:7" ht="16.5" thickBot="1" x14ac:dyDescent="0.25">
      <c r="A142" s="376"/>
      <c r="B142" s="377" t="s">
        <v>38</v>
      </c>
      <c r="C142" s="378"/>
      <c r="D142" s="379" t="s">
        <v>39</v>
      </c>
      <c r="E142" s="380"/>
      <c r="F142" s="381"/>
      <c r="G142" s="130"/>
    </row>
    <row r="143" spans="1:7" x14ac:dyDescent="0.2">
      <c r="A143" s="382" t="s">
        <v>551</v>
      </c>
      <c r="B143" s="324">
        <f>Paints!S21</f>
        <v>2498.3999999999996</v>
      </c>
      <c r="C143" s="403" t="s">
        <v>57</v>
      </c>
      <c r="D143" s="407">
        <v>0.89</v>
      </c>
      <c r="E143" s="404" t="s">
        <v>58</v>
      </c>
      <c r="F143" s="387" t="s">
        <v>212</v>
      </c>
      <c r="G143" s="130"/>
    </row>
    <row r="144" spans="1:7" x14ac:dyDescent="0.2">
      <c r="A144" s="418" t="s">
        <v>62</v>
      </c>
      <c r="B144" s="389"/>
      <c r="C144" s="432">
        <f>1-SUM(C145:C149)</f>
        <v>0.39999999999999991</v>
      </c>
      <c r="D144" s="390">
        <f>B$143*D$143*C144</f>
        <v>889.43039999999962</v>
      </c>
      <c r="E144" s="391" t="s">
        <v>113</v>
      </c>
      <c r="F144" s="387"/>
      <c r="G144" s="130"/>
    </row>
    <row r="145" spans="1:8" x14ac:dyDescent="0.2">
      <c r="A145" s="418" t="s">
        <v>217</v>
      </c>
      <c r="B145" s="589" t="s">
        <v>65</v>
      </c>
      <c r="C145" s="432">
        <v>0.27</v>
      </c>
      <c r="D145" s="671">
        <f t="shared" ref="D145:D149" si="11">B$143*D$143*C145</f>
        <v>600.36551999999995</v>
      </c>
      <c r="E145" s="391" t="s">
        <v>113</v>
      </c>
      <c r="F145" s="387"/>
      <c r="G145" s="130"/>
    </row>
    <row r="146" spans="1:8" x14ac:dyDescent="0.2">
      <c r="A146" s="418" t="s">
        <v>552</v>
      </c>
      <c r="B146" s="589" t="s">
        <v>33</v>
      </c>
      <c r="C146" s="432">
        <v>0.27</v>
      </c>
      <c r="D146" s="671">
        <f t="shared" si="11"/>
        <v>600.36551999999995</v>
      </c>
      <c r="E146" s="391" t="s">
        <v>113</v>
      </c>
      <c r="F146" s="387"/>
      <c r="G146" s="130"/>
    </row>
    <row r="147" spans="1:8" x14ac:dyDescent="0.2">
      <c r="A147" s="418" t="s">
        <v>218</v>
      </c>
      <c r="B147" s="589" t="s">
        <v>189</v>
      </c>
      <c r="C147" s="432">
        <v>0.05</v>
      </c>
      <c r="D147" s="671">
        <f t="shared" si="11"/>
        <v>111.17879999999998</v>
      </c>
      <c r="E147" s="391" t="s">
        <v>113</v>
      </c>
      <c r="F147" s="387"/>
      <c r="G147" s="130"/>
    </row>
    <row r="148" spans="1:8" x14ac:dyDescent="0.2">
      <c r="A148" s="418" t="s">
        <v>553</v>
      </c>
      <c r="B148" s="589" t="s">
        <v>554</v>
      </c>
      <c r="C148" s="432">
        <v>5.0000000000000001E-3</v>
      </c>
      <c r="D148" s="671">
        <f t="shared" si="11"/>
        <v>11.117879999999998</v>
      </c>
      <c r="E148" s="391" t="s">
        <v>113</v>
      </c>
      <c r="F148" s="387"/>
      <c r="G148" s="130"/>
    </row>
    <row r="149" spans="1:8" x14ac:dyDescent="0.2">
      <c r="A149" s="425" t="s">
        <v>555</v>
      </c>
      <c r="B149" s="393" t="s">
        <v>510</v>
      </c>
      <c r="C149" s="422">
        <v>5.0000000000000001E-3</v>
      </c>
      <c r="D149" s="672">
        <f t="shared" si="11"/>
        <v>11.117879999999998</v>
      </c>
      <c r="E149" s="395" t="s">
        <v>113</v>
      </c>
      <c r="F149" s="396"/>
      <c r="G149" s="130"/>
    </row>
    <row r="150" spans="1:8" s="130" customFormat="1" ht="13.5" thickBot="1" x14ac:dyDescent="0.25">
      <c r="A150" s="408" t="s">
        <v>79</v>
      </c>
      <c r="B150" s="409"/>
      <c r="C150" s="578">
        <f>SUM(C144:C149)</f>
        <v>1</v>
      </c>
      <c r="D150" s="411">
        <f>SUM(D144:D149)</f>
        <v>2223.5759999999991</v>
      </c>
      <c r="E150" s="412" t="s">
        <v>113</v>
      </c>
      <c r="F150" s="413"/>
    </row>
    <row r="151" spans="1:8" ht="15.75" thickBot="1" x14ac:dyDescent="0.25">
      <c r="A151" s="479" t="s">
        <v>120</v>
      </c>
      <c r="B151" s="480"/>
      <c r="C151" s="480"/>
      <c r="D151" s="480"/>
      <c r="E151" s="480"/>
      <c r="F151" s="481"/>
    </row>
    <row r="152" spans="1:8" ht="16.5" thickBot="1" x14ac:dyDescent="0.25">
      <c r="A152" s="376"/>
      <c r="B152" s="377" t="s">
        <v>38</v>
      </c>
      <c r="C152" s="378"/>
      <c r="D152" s="379" t="s">
        <v>39</v>
      </c>
      <c r="E152" s="380"/>
      <c r="F152" s="381"/>
    </row>
    <row r="153" spans="1:8" x14ac:dyDescent="0.2">
      <c r="A153" s="382" t="s">
        <v>227</v>
      </c>
      <c r="B153" s="402">
        <f>Paints!A42</f>
        <v>0</v>
      </c>
      <c r="C153" s="403" t="s">
        <v>57</v>
      </c>
      <c r="D153" s="402">
        <v>1.091</v>
      </c>
      <c r="E153" s="404" t="s">
        <v>58</v>
      </c>
      <c r="F153" s="387" t="s">
        <v>212</v>
      </c>
      <c r="H153" s="371"/>
    </row>
    <row r="154" spans="1:8" x14ac:dyDescent="0.2">
      <c r="A154" s="388" t="s">
        <v>62</v>
      </c>
      <c r="B154" s="389"/>
      <c r="C154" s="320">
        <v>0.43</v>
      </c>
      <c r="D154" s="390">
        <v>0</v>
      </c>
      <c r="E154" s="391" t="s">
        <v>113</v>
      </c>
      <c r="F154" s="387"/>
    </row>
    <row r="155" spans="1:8" x14ac:dyDescent="0.2">
      <c r="A155" s="388" t="s">
        <v>74</v>
      </c>
      <c r="B155" s="389" t="s">
        <v>29</v>
      </c>
      <c r="C155" s="320">
        <v>0.3</v>
      </c>
      <c r="D155" s="671">
        <v>0</v>
      </c>
      <c r="E155" s="391" t="s">
        <v>113</v>
      </c>
      <c r="F155" s="387"/>
    </row>
    <row r="156" spans="1:8" x14ac:dyDescent="0.2">
      <c r="A156" s="388" t="s">
        <v>52</v>
      </c>
      <c r="B156" s="389" t="s">
        <v>33</v>
      </c>
      <c r="C156" s="320">
        <v>0.2</v>
      </c>
      <c r="D156" s="671">
        <v>0</v>
      </c>
      <c r="E156" s="391" t="s">
        <v>113</v>
      </c>
      <c r="F156" s="387"/>
    </row>
    <row r="157" spans="1:8" x14ac:dyDescent="0.2">
      <c r="A157" s="392" t="s">
        <v>99</v>
      </c>
      <c r="B157" s="322" t="s">
        <v>94</v>
      </c>
      <c r="C157" s="321">
        <v>7.0000000000000007E-2</v>
      </c>
      <c r="D157" s="672">
        <v>0</v>
      </c>
      <c r="E157" s="395" t="s">
        <v>113</v>
      </c>
      <c r="F157" s="396"/>
      <c r="G157" s="130"/>
    </row>
    <row r="158" spans="1:8" x14ac:dyDescent="0.2">
      <c r="A158" s="392" t="s">
        <v>79</v>
      </c>
      <c r="B158" s="322"/>
      <c r="C158" s="321">
        <f>SUM(C154:C157)</f>
        <v>1</v>
      </c>
      <c r="D158" s="394">
        <v>0</v>
      </c>
      <c r="E158" s="395" t="s">
        <v>113</v>
      </c>
      <c r="F158" s="396"/>
    </row>
    <row r="159" spans="1:8" x14ac:dyDescent="0.2">
      <c r="A159" s="319" t="s">
        <v>356</v>
      </c>
      <c r="B159" s="398">
        <f>Paints!B42</f>
        <v>0</v>
      </c>
      <c r="C159" s="399" t="s">
        <v>57</v>
      </c>
      <c r="D159" s="398">
        <v>0.3355128</v>
      </c>
      <c r="E159" s="400" t="s">
        <v>58</v>
      </c>
      <c r="F159" s="401" t="s">
        <v>212</v>
      </c>
    </row>
    <row r="160" spans="1:8" x14ac:dyDescent="0.2">
      <c r="A160" s="388" t="s">
        <v>62</v>
      </c>
      <c r="B160" s="389"/>
      <c r="C160" s="320">
        <v>0.61</v>
      </c>
      <c r="D160" s="390">
        <f t="shared" ref="D160:D165" si="12">B$159*D$159*C160</f>
        <v>0</v>
      </c>
      <c r="E160" s="391" t="s">
        <v>113</v>
      </c>
      <c r="F160" s="387"/>
    </row>
    <row r="161" spans="1:7" x14ac:dyDescent="0.2">
      <c r="A161" s="388" t="s">
        <v>367</v>
      </c>
      <c r="B161" s="389" t="s">
        <v>35</v>
      </c>
      <c r="C161" s="320">
        <v>0.25</v>
      </c>
      <c r="D161" s="671">
        <f t="shared" si="12"/>
        <v>0</v>
      </c>
      <c r="E161" s="391" t="s">
        <v>113</v>
      </c>
      <c r="F161" s="387"/>
    </row>
    <row r="162" spans="1:7" x14ac:dyDescent="0.2">
      <c r="A162" s="388" t="s">
        <v>368</v>
      </c>
      <c r="B162" s="389" t="s">
        <v>369</v>
      </c>
      <c r="C162" s="320">
        <v>0.01</v>
      </c>
      <c r="D162" s="671">
        <f t="shared" si="12"/>
        <v>0</v>
      </c>
      <c r="E162" s="391" t="s">
        <v>113</v>
      </c>
      <c r="F162" s="387"/>
    </row>
    <row r="163" spans="1:7" x14ac:dyDescent="0.2">
      <c r="A163" s="388" t="s">
        <v>373</v>
      </c>
      <c r="B163" s="389" t="s">
        <v>370</v>
      </c>
      <c r="C163" s="320">
        <v>0.01</v>
      </c>
      <c r="D163" s="671">
        <f t="shared" si="12"/>
        <v>0</v>
      </c>
      <c r="E163" s="391" t="s">
        <v>113</v>
      </c>
      <c r="F163" s="387"/>
    </row>
    <row r="164" spans="1:7" x14ac:dyDescent="0.2">
      <c r="A164" s="388" t="s">
        <v>372</v>
      </c>
      <c r="B164" s="389" t="s">
        <v>371</v>
      </c>
      <c r="C164" s="320">
        <v>3.0000000000000001E-3</v>
      </c>
      <c r="D164" s="671">
        <f t="shared" si="12"/>
        <v>0</v>
      </c>
      <c r="E164" s="391" t="s">
        <v>113</v>
      </c>
      <c r="F164" s="387"/>
    </row>
    <row r="165" spans="1:7" x14ac:dyDescent="0.2">
      <c r="A165" s="392" t="s">
        <v>391</v>
      </c>
      <c r="B165" s="322"/>
      <c r="C165" s="321">
        <v>0.11700000000000001</v>
      </c>
      <c r="D165" s="672">
        <f t="shared" si="12"/>
        <v>0</v>
      </c>
      <c r="E165" s="395" t="s">
        <v>113</v>
      </c>
      <c r="F165" s="396"/>
      <c r="G165" s="130"/>
    </row>
    <row r="166" spans="1:7" x14ac:dyDescent="0.2">
      <c r="A166" s="392" t="s">
        <v>79</v>
      </c>
      <c r="B166" s="322"/>
      <c r="C166" s="321">
        <f>SUM(C160:C165)</f>
        <v>1</v>
      </c>
      <c r="D166" s="394">
        <f>SUM(D160:D165)</f>
        <v>0</v>
      </c>
      <c r="E166" s="395" t="s">
        <v>113</v>
      </c>
      <c r="F166" s="396"/>
      <c r="G166" s="136">
        <f>B159*D159</f>
        <v>0</v>
      </c>
    </row>
    <row r="167" spans="1:7" s="130" customFormat="1" x14ac:dyDescent="0.2">
      <c r="A167" s="319" t="s">
        <v>361</v>
      </c>
      <c r="B167" s="398">
        <f>Paints!C42</f>
        <v>0</v>
      </c>
      <c r="C167" s="399" t="s">
        <v>57</v>
      </c>
      <c r="D167" s="398">
        <v>1.1191748399999999</v>
      </c>
      <c r="E167" s="400" t="s">
        <v>58</v>
      </c>
      <c r="F167" s="401" t="s">
        <v>212</v>
      </c>
      <c r="G167" s="129"/>
    </row>
    <row r="168" spans="1:7" x14ac:dyDescent="0.2">
      <c r="A168" s="388" t="s">
        <v>363</v>
      </c>
      <c r="B168" s="389" t="s">
        <v>204</v>
      </c>
      <c r="C168" s="320">
        <v>0.89829999999999999</v>
      </c>
      <c r="D168" s="671">
        <v>3.8203480833335992</v>
      </c>
      <c r="E168" s="391" t="s">
        <v>113</v>
      </c>
      <c r="F168" s="387"/>
    </row>
    <row r="169" spans="1:7" x14ac:dyDescent="0.2">
      <c r="A169" s="388" t="s">
        <v>230</v>
      </c>
      <c r="B169" s="389" t="s">
        <v>36</v>
      </c>
      <c r="C169" s="320">
        <v>0.05</v>
      </c>
      <c r="D169" s="671">
        <v>0.21264321959999999</v>
      </c>
      <c r="E169" s="391" t="s">
        <v>113</v>
      </c>
      <c r="F169" s="387"/>
    </row>
    <row r="170" spans="1:7" x14ac:dyDescent="0.2">
      <c r="A170" s="388" t="s">
        <v>364</v>
      </c>
      <c r="B170" s="389" t="s">
        <v>97</v>
      </c>
      <c r="C170" s="320">
        <v>2.2499999999999999E-2</v>
      </c>
      <c r="D170" s="671">
        <v>9.5689448819999981E-2</v>
      </c>
      <c r="E170" s="391" t="s">
        <v>113</v>
      </c>
      <c r="F170" s="387"/>
    </row>
    <row r="171" spans="1:7" x14ac:dyDescent="0.2">
      <c r="A171" s="388" t="s">
        <v>365</v>
      </c>
      <c r="B171" s="389" t="s">
        <v>25</v>
      </c>
      <c r="C171" s="320">
        <v>1.4999999999999999E-2</v>
      </c>
      <c r="D171" s="671">
        <v>6.3792965879999983E-2</v>
      </c>
      <c r="E171" s="391" t="s">
        <v>113</v>
      </c>
      <c r="F171" s="387"/>
    </row>
    <row r="172" spans="1:7" s="130" customFormat="1" x14ac:dyDescent="0.2">
      <c r="A172" s="388" t="s">
        <v>293</v>
      </c>
      <c r="B172" s="389" t="s">
        <v>294</v>
      </c>
      <c r="C172" s="320">
        <v>3.0000000000000001E-3</v>
      </c>
      <c r="D172" s="671">
        <v>1.2758593175999998E-2</v>
      </c>
      <c r="E172" s="391" t="s">
        <v>113</v>
      </c>
      <c r="F172" s="387"/>
      <c r="G172" s="129"/>
    </row>
    <row r="173" spans="1:7" x14ac:dyDescent="0.2">
      <c r="A173" s="388" t="s">
        <v>366</v>
      </c>
      <c r="B173" s="389" t="s">
        <v>278</v>
      </c>
      <c r="C173" s="320">
        <v>1.6999999999999999E-3</v>
      </c>
      <c r="D173" s="671">
        <v>7.2298694663999984E-3</v>
      </c>
      <c r="E173" s="391" t="s">
        <v>113</v>
      </c>
      <c r="F173" s="387"/>
    </row>
    <row r="174" spans="1:7" x14ac:dyDescent="0.2">
      <c r="A174" s="392" t="s">
        <v>391</v>
      </c>
      <c r="B174" s="322"/>
      <c r="C174" s="321">
        <v>8.9999999999999993E-3</v>
      </c>
      <c r="D174" s="672">
        <v>3.8275779527999994E-2</v>
      </c>
      <c r="E174" s="421" t="s">
        <v>113</v>
      </c>
      <c r="F174" s="396"/>
      <c r="G174" s="130"/>
    </row>
    <row r="175" spans="1:7" x14ac:dyDescent="0.2">
      <c r="A175" s="392" t="s">
        <v>79</v>
      </c>
      <c r="B175" s="322"/>
      <c r="C175" s="321">
        <f>SUM(C168:C174)</f>
        <v>0.99950000000000006</v>
      </c>
      <c r="D175" s="394">
        <v>4.2528643919999993</v>
      </c>
      <c r="E175" s="395" t="s">
        <v>113</v>
      </c>
      <c r="F175" s="396"/>
      <c r="G175" s="136">
        <f>B167*D167</f>
        <v>0</v>
      </c>
    </row>
    <row r="176" spans="1:7" x14ac:dyDescent="0.2">
      <c r="A176" s="319" t="s">
        <v>380</v>
      </c>
      <c r="B176" s="398">
        <f>Paints!D42</f>
        <v>0</v>
      </c>
      <c r="C176" s="399" t="s">
        <v>57</v>
      </c>
      <c r="D176" s="398">
        <v>0.86873849999999997</v>
      </c>
      <c r="E176" s="400" t="s">
        <v>58</v>
      </c>
      <c r="F176" s="401" t="s">
        <v>212</v>
      </c>
    </row>
    <row r="177" spans="1:6" x14ac:dyDescent="0.2">
      <c r="A177" s="388" t="s">
        <v>76</v>
      </c>
      <c r="B177" s="389" t="s">
        <v>31</v>
      </c>
      <c r="C177" s="320">
        <v>0.1953</v>
      </c>
      <c r="D177" s="671">
        <v>16.118139759750001</v>
      </c>
      <c r="E177" s="391" t="s">
        <v>113</v>
      </c>
      <c r="F177" s="387"/>
    </row>
    <row r="178" spans="1:6" x14ac:dyDescent="0.2">
      <c r="A178" s="388" t="s">
        <v>381</v>
      </c>
      <c r="B178" s="389" t="s">
        <v>382</v>
      </c>
      <c r="C178" s="320">
        <v>0.3594</v>
      </c>
      <c r="D178" s="671">
        <v>29.661338605499999</v>
      </c>
      <c r="E178" s="391" t="s">
        <v>113</v>
      </c>
      <c r="F178" s="387"/>
    </row>
    <row r="179" spans="1:6" s="130" customFormat="1" x14ac:dyDescent="0.2">
      <c r="A179" s="392" t="s">
        <v>230</v>
      </c>
      <c r="B179" s="322" t="s">
        <v>36</v>
      </c>
      <c r="C179" s="321">
        <v>0.44529999999999997</v>
      </c>
      <c r="D179" s="672">
        <v>36.750679134750001</v>
      </c>
      <c r="E179" s="395" t="s">
        <v>113</v>
      </c>
      <c r="F179" s="396"/>
    </row>
    <row r="180" spans="1:6" x14ac:dyDescent="0.2">
      <c r="A180" s="438" t="s">
        <v>79</v>
      </c>
      <c r="B180" s="439"/>
      <c r="C180" s="440">
        <f>SUM(C177:C179)</f>
        <v>1</v>
      </c>
      <c r="D180" s="441">
        <v>82.530157500000001</v>
      </c>
      <c r="E180" s="442" t="s">
        <v>113</v>
      </c>
      <c r="F180" s="443"/>
    </row>
    <row r="181" spans="1:6" x14ac:dyDescent="0.2">
      <c r="A181" s="319" t="s">
        <v>397</v>
      </c>
      <c r="B181" s="398">
        <f>Paints!E42</f>
        <v>0</v>
      </c>
      <c r="C181" s="399" t="s">
        <v>57</v>
      </c>
      <c r="D181" s="398">
        <v>1.6416161999999999</v>
      </c>
      <c r="E181" s="400" t="s">
        <v>58</v>
      </c>
      <c r="F181" s="401" t="s">
        <v>212</v>
      </c>
    </row>
    <row r="182" spans="1:6" x14ac:dyDescent="0.2">
      <c r="A182" s="418" t="s">
        <v>62</v>
      </c>
      <c r="B182" s="402"/>
      <c r="C182" s="384">
        <v>0.72</v>
      </c>
      <c r="D182" s="390">
        <f t="shared" ref="D182:D187" si="13">B$181*D$181*C182</f>
        <v>0</v>
      </c>
      <c r="E182" s="386" t="s">
        <v>113</v>
      </c>
      <c r="F182" s="387"/>
    </row>
    <row r="183" spans="1:6" x14ac:dyDescent="0.2">
      <c r="A183" s="388" t="s">
        <v>229</v>
      </c>
      <c r="B183" s="389" t="s">
        <v>94</v>
      </c>
      <c r="C183" s="432">
        <v>2.0000000000000001E-4</v>
      </c>
      <c r="D183" s="671">
        <f t="shared" si="13"/>
        <v>0</v>
      </c>
      <c r="E183" s="391" t="s">
        <v>276</v>
      </c>
      <c r="F183" s="387"/>
    </row>
    <row r="184" spans="1:6" x14ac:dyDescent="0.2">
      <c r="A184" s="388" t="s">
        <v>74</v>
      </c>
      <c r="B184" s="389" t="s">
        <v>29</v>
      </c>
      <c r="C184" s="320">
        <v>0.01</v>
      </c>
      <c r="D184" s="671">
        <f t="shared" si="13"/>
        <v>0</v>
      </c>
      <c r="E184" s="391" t="s">
        <v>276</v>
      </c>
      <c r="F184" s="387"/>
    </row>
    <row r="185" spans="1:6" x14ac:dyDescent="0.2">
      <c r="A185" s="388" t="s">
        <v>399</v>
      </c>
      <c r="B185" s="389" t="s">
        <v>207</v>
      </c>
      <c r="C185" s="320">
        <v>0.16</v>
      </c>
      <c r="D185" s="671">
        <f t="shared" si="13"/>
        <v>0</v>
      </c>
      <c r="E185" s="391" t="s">
        <v>276</v>
      </c>
      <c r="F185" s="387"/>
    </row>
    <row r="186" spans="1:6" x14ac:dyDescent="0.2">
      <c r="A186" s="388" t="s">
        <v>54</v>
      </c>
      <c r="B186" s="389" t="s">
        <v>34</v>
      </c>
      <c r="C186" s="320">
        <v>0.04</v>
      </c>
      <c r="D186" s="671">
        <f t="shared" si="13"/>
        <v>0</v>
      </c>
      <c r="E186" s="391" t="s">
        <v>276</v>
      </c>
      <c r="F186" s="387"/>
    </row>
    <row r="187" spans="1:6" x14ac:dyDescent="0.2">
      <c r="A187" s="392" t="s">
        <v>230</v>
      </c>
      <c r="B187" s="322" t="s">
        <v>36</v>
      </c>
      <c r="C187" s="321">
        <v>7.0000000000000007E-2</v>
      </c>
      <c r="D187" s="672">
        <f t="shared" si="13"/>
        <v>0</v>
      </c>
      <c r="E187" s="395" t="s">
        <v>276</v>
      </c>
      <c r="F187" s="396"/>
    </row>
    <row r="188" spans="1:6" x14ac:dyDescent="0.2">
      <c r="A188" s="392" t="s">
        <v>79</v>
      </c>
      <c r="B188" s="322"/>
      <c r="C188" s="321">
        <f>SUM(C182:C187)</f>
        <v>1.0002</v>
      </c>
      <c r="D188" s="394">
        <f>SUM(D183:D187)</f>
        <v>0</v>
      </c>
      <c r="E188" s="395" t="s">
        <v>276</v>
      </c>
      <c r="F188" s="396"/>
    </row>
    <row r="189" spans="1:6" x14ac:dyDescent="0.2">
      <c r="A189" s="319" t="s">
        <v>400</v>
      </c>
      <c r="B189" s="398">
        <f>Paints!F42</f>
        <v>0</v>
      </c>
      <c r="C189" s="399" t="s">
        <v>57</v>
      </c>
      <c r="D189" s="398">
        <v>1.2509834399999999</v>
      </c>
      <c r="E189" s="400" t="s">
        <v>58</v>
      </c>
      <c r="F189" s="401" t="s">
        <v>212</v>
      </c>
    </row>
    <row r="190" spans="1:6" x14ac:dyDescent="0.2">
      <c r="A190" s="418" t="s">
        <v>62</v>
      </c>
      <c r="B190" s="402"/>
      <c r="C190" s="384">
        <v>0</v>
      </c>
      <c r="D190" s="383">
        <f>B$189*D$189*C190</f>
        <v>0</v>
      </c>
      <c r="E190" s="391" t="s">
        <v>276</v>
      </c>
      <c r="F190" s="387"/>
    </row>
    <row r="191" spans="1:6" x14ac:dyDescent="0.2">
      <c r="A191" s="388" t="s">
        <v>399</v>
      </c>
      <c r="B191" s="389" t="s">
        <v>207</v>
      </c>
      <c r="C191" s="320">
        <v>0.56130000000000002</v>
      </c>
      <c r="D191" s="674">
        <f>B$189*D$189*C191</f>
        <v>0</v>
      </c>
      <c r="E191" s="391" t="s">
        <v>276</v>
      </c>
      <c r="F191" s="387"/>
    </row>
    <row r="192" spans="1:6" x14ac:dyDescent="0.2">
      <c r="A192" s="392" t="s">
        <v>236</v>
      </c>
      <c r="B192" s="322" t="s">
        <v>204</v>
      </c>
      <c r="C192" s="321">
        <v>0.43790000000000001</v>
      </c>
      <c r="D192" s="681">
        <f>B$189*D$189*C192</f>
        <v>0</v>
      </c>
      <c r="E192" s="395" t="s">
        <v>276</v>
      </c>
      <c r="F192" s="396"/>
    </row>
    <row r="193" spans="1:7" x14ac:dyDescent="0.2">
      <c r="A193" s="392" t="s">
        <v>79</v>
      </c>
      <c r="B193" s="322"/>
      <c r="C193" s="321">
        <f>SUM(C190:C192)</f>
        <v>0.99920000000000009</v>
      </c>
      <c r="D193" s="394">
        <f>SUM(D190:D192)</f>
        <v>0</v>
      </c>
      <c r="E193" s="395" t="s">
        <v>276</v>
      </c>
      <c r="F193" s="396"/>
    </row>
    <row r="194" spans="1:7" x14ac:dyDescent="0.2">
      <c r="A194" s="319" t="s">
        <v>402</v>
      </c>
      <c r="B194" s="398">
        <f>Paints!G42</f>
        <v>0</v>
      </c>
      <c r="C194" s="399" t="s">
        <v>57</v>
      </c>
      <c r="D194" s="398">
        <v>0.89869500000000002</v>
      </c>
      <c r="E194" s="400" t="s">
        <v>58</v>
      </c>
      <c r="F194" s="401" t="s">
        <v>212</v>
      </c>
    </row>
    <row r="195" spans="1:7" x14ac:dyDescent="0.2">
      <c r="A195" s="418" t="s">
        <v>62</v>
      </c>
      <c r="B195" s="402"/>
      <c r="C195" s="384">
        <v>0</v>
      </c>
      <c r="D195" s="390">
        <f>B$194*D$194*C195</f>
        <v>0</v>
      </c>
      <c r="E195" s="391" t="s">
        <v>276</v>
      </c>
      <c r="F195" s="387"/>
    </row>
    <row r="196" spans="1:7" x14ac:dyDescent="0.2">
      <c r="A196" s="388" t="s">
        <v>399</v>
      </c>
      <c r="B196" s="389" t="s">
        <v>207</v>
      </c>
      <c r="C196" s="320">
        <v>0.3</v>
      </c>
      <c r="D196" s="671">
        <f>B$194*D$194*C196</f>
        <v>0</v>
      </c>
      <c r="E196" s="391" t="s">
        <v>276</v>
      </c>
      <c r="F196" s="387"/>
    </row>
    <row r="197" spans="1:7" x14ac:dyDescent="0.2">
      <c r="A197" s="392" t="s">
        <v>70</v>
      </c>
      <c r="B197" s="322" t="s">
        <v>20</v>
      </c>
      <c r="C197" s="321">
        <v>0.7</v>
      </c>
      <c r="D197" s="672">
        <f>B$194*D$194*C197</f>
        <v>0</v>
      </c>
      <c r="E197" s="395" t="s">
        <v>276</v>
      </c>
      <c r="F197" s="396"/>
    </row>
    <row r="198" spans="1:7" x14ac:dyDescent="0.2">
      <c r="A198" s="392" t="s">
        <v>79</v>
      </c>
      <c r="B198" s="322"/>
      <c r="C198" s="321">
        <f>SUM(C195:C197)</f>
        <v>1</v>
      </c>
      <c r="D198" s="394">
        <f>SUM(D195:D197)</f>
        <v>0</v>
      </c>
      <c r="E198" s="395" t="s">
        <v>276</v>
      </c>
      <c r="F198" s="396"/>
    </row>
    <row r="199" spans="1:7" x14ac:dyDescent="0.2">
      <c r="A199" s="319" t="s">
        <v>539</v>
      </c>
      <c r="B199" s="491">
        <f>Paints!H42</f>
        <v>0</v>
      </c>
      <c r="C199" s="492" t="s">
        <v>57</v>
      </c>
      <c r="D199" s="491" t="s">
        <v>540</v>
      </c>
      <c r="E199" s="400" t="s">
        <v>58</v>
      </c>
      <c r="F199" s="401" t="s">
        <v>212</v>
      </c>
    </row>
    <row r="200" spans="1:7" x14ac:dyDescent="0.2">
      <c r="A200" s="418" t="s">
        <v>540</v>
      </c>
      <c r="B200" s="493" t="s">
        <v>540</v>
      </c>
      <c r="C200" s="493" t="s">
        <v>540</v>
      </c>
      <c r="D200" s="671">
        <v>0</v>
      </c>
      <c r="E200" s="391" t="s">
        <v>276</v>
      </c>
      <c r="F200" s="387"/>
    </row>
    <row r="201" spans="1:7" x14ac:dyDescent="0.2">
      <c r="A201" s="418" t="s">
        <v>540</v>
      </c>
      <c r="B201" s="493" t="s">
        <v>540</v>
      </c>
      <c r="C201" s="493" t="s">
        <v>540</v>
      </c>
      <c r="D201" s="671">
        <v>0</v>
      </c>
      <c r="E201" s="391" t="s">
        <v>276</v>
      </c>
      <c r="F201" s="387"/>
    </row>
    <row r="202" spans="1:7" x14ac:dyDescent="0.2">
      <c r="A202" s="425" t="s">
        <v>540</v>
      </c>
      <c r="B202" s="494" t="s">
        <v>540</v>
      </c>
      <c r="C202" s="494" t="s">
        <v>540</v>
      </c>
      <c r="D202" s="672">
        <v>0</v>
      </c>
      <c r="E202" s="395" t="s">
        <v>276</v>
      </c>
      <c r="F202" s="396"/>
    </row>
    <row r="203" spans="1:7" x14ac:dyDescent="0.2">
      <c r="A203" s="392" t="s">
        <v>79</v>
      </c>
      <c r="B203" s="322"/>
      <c r="C203" s="321">
        <f>SUM(C200:C202)</f>
        <v>0</v>
      </c>
      <c r="D203" s="394">
        <f>SUM(D200:D202)</f>
        <v>0</v>
      </c>
      <c r="E203" s="395" t="s">
        <v>276</v>
      </c>
      <c r="F203" s="396"/>
    </row>
    <row r="204" spans="1:7" x14ac:dyDescent="0.2">
      <c r="A204" s="319" t="s">
        <v>228</v>
      </c>
      <c r="B204" s="398">
        <f>Paints!I42+Paints!J42+Paints!K42+Paints!L42+Paints!M42+Paints!N42+Paints!O42+Paints!P42+Paints!Q42+Paints!R42+Paints!S42</f>
        <v>0</v>
      </c>
      <c r="C204" s="399" t="s">
        <v>57</v>
      </c>
      <c r="D204" s="398">
        <v>0.95399999999999996</v>
      </c>
      <c r="E204" s="400" t="s">
        <v>58</v>
      </c>
      <c r="F204" s="401" t="s">
        <v>212</v>
      </c>
    </row>
    <row r="205" spans="1:7" x14ac:dyDescent="0.2">
      <c r="A205" s="388" t="s">
        <v>62</v>
      </c>
      <c r="B205" s="389"/>
      <c r="C205" s="320">
        <v>0.22999999999999998</v>
      </c>
      <c r="D205" s="390">
        <v>1.4591429999999996</v>
      </c>
      <c r="E205" s="391" t="s">
        <v>113</v>
      </c>
      <c r="F205" s="387"/>
    </row>
    <row r="206" spans="1:7" x14ac:dyDescent="0.2">
      <c r="A206" s="388" t="s">
        <v>76</v>
      </c>
      <c r="B206" s="389" t="s">
        <v>31</v>
      </c>
      <c r="C206" s="320">
        <v>0.11</v>
      </c>
      <c r="D206" s="671">
        <v>0.69785099999999989</v>
      </c>
      <c r="E206" s="391" t="s">
        <v>113</v>
      </c>
      <c r="F206" s="387"/>
    </row>
    <row r="207" spans="1:7" x14ac:dyDescent="0.2">
      <c r="A207" s="388" t="s">
        <v>229</v>
      </c>
      <c r="B207" s="389" t="s">
        <v>94</v>
      </c>
      <c r="C207" s="320">
        <v>0.04</v>
      </c>
      <c r="D207" s="671">
        <v>0.25376399999999999</v>
      </c>
      <c r="E207" s="391" t="s">
        <v>113</v>
      </c>
      <c r="F207" s="387"/>
    </row>
    <row r="208" spans="1:7" s="130" customFormat="1" x14ac:dyDescent="0.2">
      <c r="A208" s="388" t="s">
        <v>74</v>
      </c>
      <c r="B208" s="389" t="s">
        <v>29</v>
      </c>
      <c r="C208" s="320">
        <v>0.2</v>
      </c>
      <c r="D208" s="671">
        <v>1.2688199999999998</v>
      </c>
      <c r="E208" s="391" t="s">
        <v>113</v>
      </c>
      <c r="F208" s="387"/>
      <c r="G208" s="129"/>
    </row>
    <row r="209" spans="1:7" x14ac:dyDescent="0.2">
      <c r="A209" s="392" t="s">
        <v>230</v>
      </c>
      <c r="B209" s="322" t="s">
        <v>36</v>
      </c>
      <c r="C209" s="321">
        <v>0.42</v>
      </c>
      <c r="D209" s="672">
        <v>2.6645219999999994</v>
      </c>
      <c r="E209" s="395" t="s">
        <v>113</v>
      </c>
      <c r="F209" s="396"/>
      <c r="G209" s="130"/>
    </row>
    <row r="210" spans="1:7" x14ac:dyDescent="0.2">
      <c r="A210" s="392" t="s">
        <v>79</v>
      </c>
      <c r="B210" s="322"/>
      <c r="C210" s="321">
        <f>SUM(C205:C209)</f>
        <v>1</v>
      </c>
      <c r="D210" s="394">
        <v>6.3440999999999992</v>
      </c>
      <c r="E210" s="395" t="s">
        <v>113</v>
      </c>
      <c r="F210" s="396"/>
    </row>
    <row r="211" spans="1:7" x14ac:dyDescent="0.2">
      <c r="A211" s="319" t="s">
        <v>231</v>
      </c>
      <c r="B211" s="398">
        <f>Paints!A63</f>
        <v>0</v>
      </c>
      <c r="C211" s="399" t="s">
        <v>57</v>
      </c>
      <c r="D211" s="398">
        <v>0.97199999999999998</v>
      </c>
      <c r="E211" s="400" t="s">
        <v>58</v>
      </c>
      <c r="F211" s="401" t="s">
        <v>212</v>
      </c>
    </row>
    <row r="212" spans="1:7" x14ac:dyDescent="0.2">
      <c r="A212" s="388" t="s">
        <v>232</v>
      </c>
      <c r="B212" s="389"/>
      <c r="C212" s="320">
        <v>0.39</v>
      </c>
      <c r="D212" s="390">
        <v>0</v>
      </c>
      <c r="E212" s="391" t="s">
        <v>113</v>
      </c>
      <c r="F212" s="387"/>
    </row>
    <row r="213" spans="1:7" x14ac:dyDescent="0.2">
      <c r="A213" s="388" t="s">
        <v>233</v>
      </c>
      <c r="B213" s="389" t="s">
        <v>207</v>
      </c>
      <c r="C213" s="320">
        <v>0.18</v>
      </c>
      <c r="D213" s="671">
        <v>0</v>
      </c>
      <c r="E213" s="391" t="s">
        <v>113</v>
      </c>
      <c r="F213" s="387"/>
    </row>
    <row r="214" spans="1:7" x14ac:dyDescent="0.2">
      <c r="A214" s="388" t="s">
        <v>70</v>
      </c>
      <c r="B214" s="389" t="s">
        <v>20</v>
      </c>
      <c r="C214" s="320">
        <v>0.34</v>
      </c>
      <c r="D214" s="671">
        <v>0</v>
      </c>
      <c r="E214" s="391" t="s">
        <v>113</v>
      </c>
      <c r="F214" s="387"/>
    </row>
    <row r="215" spans="1:7" s="130" customFormat="1" x14ac:dyDescent="0.2">
      <c r="A215" s="392" t="s">
        <v>55</v>
      </c>
      <c r="B215" s="322" t="s">
        <v>35</v>
      </c>
      <c r="C215" s="321">
        <v>0.09</v>
      </c>
      <c r="D215" s="672">
        <v>0</v>
      </c>
      <c r="E215" s="395" t="s">
        <v>113</v>
      </c>
      <c r="F215" s="396"/>
    </row>
    <row r="216" spans="1:7" x14ac:dyDescent="0.2">
      <c r="A216" s="392" t="s">
        <v>79</v>
      </c>
      <c r="B216" s="322"/>
      <c r="C216" s="321">
        <f>SUM(C212:C215)</f>
        <v>1.0000000000000002</v>
      </c>
      <c r="D216" s="394">
        <v>0</v>
      </c>
      <c r="E216" s="395" t="s">
        <v>113</v>
      </c>
      <c r="F216" s="396"/>
    </row>
    <row r="217" spans="1:7" x14ac:dyDescent="0.2">
      <c r="A217" s="319" t="s">
        <v>234</v>
      </c>
      <c r="B217" s="398">
        <f>Paints!B63</f>
        <v>0</v>
      </c>
      <c r="C217" s="399" t="s">
        <v>57</v>
      </c>
      <c r="D217" s="398">
        <v>1.131</v>
      </c>
      <c r="E217" s="400" t="s">
        <v>58</v>
      </c>
      <c r="F217" s="401" t="s">
        <v>212</v>
      </c>
    </row>
    <row r="218" spans="1:7" x14ac:dyDescent="0.2">
      <c r="A218" s="388" t="s">
        <v>232</v>
      </c>
      <c r="B218" s="389"/>
      <c r="C218" s="320">
        <v>0.01</v>
      </c>
      <c r="D218" s="390">
        <v>1.0744499999999999E-2</v>
      </c>
      <c r="E218" s="391" t="s">
        <v>113</v>
      </c>
      <c r="F218" s="387"/>
    </row>
    <row r="219" spans="1:7" x14ac:dyDescent="0.2">
      <c r="A219" s="388" t="s">
        <v>233</v>
      </c>
      <c r="B219" s="389" t="s">
        <v>207</v>
      </c>
      <c r="C219" s="320">
        <v>0.3</v>
      </c>
      <c r="D219" s="671">
        <v>0.32233499999999998</v>
      </c>
      <c r="E219" s="391" t="s">
        <v>113</v>
      </c>
      <c r="F219" s="387"/>
    </row>
    <row r="220" spans="1:7" x14ac:dyDescent="0.2">
      <c r="A220" s="388" t="s">
        <v>55</v>
      </c>
      <c r="B220" s="389" t="s">
        <v>35</v>
      </c>
      <c r="C220" s="320">
        <v>0.08</v>
      </c>
      <c r="D220" s="671">
        <v>8.5955999999999991E-2</v>
      </c>
      <c r="E220" s="391" t="s">
        <v>113</v>
      </c>
      <c r="F220" s="387"/>
    </row>
    <row r="221" spans="1:7" x14ac:dyDescent="0.2">
      <c r="A221" s="388" t="s">
        <v>235</v>
      </c>
      <c r="B221" s="389" t="s">
        <v>199</v>
      </c>
      <c r="C221" s="320">
        <v>0.13</v>
      </c>
      <c r="D221" s="671">
        <v>0.13967849999999998</v>
      </c>
      <c r="E221" s="391" t="s">
        <v>113</v>
      </c>
      <c r="F221" s="387"/>
    </row>
    <row r="222" spans="1:7" x14ac:dyDescent="0.2">
      <c r="A222" s="392" t="s">
        <v>236</v>
      </c>
      <c r="B222" s="322" t="s">
        <v>204</v>
      </c>
      <c r="C222" s="321">
        <v>0.48</v>
      </c>
      <c r="D222" s="672">
        <v>0.51573599999999997</v>
      </c>
      <c r="E222" s="395" t="s">
        <v>113</v>
      </c>
      <c r="F222" s="396"/>
      <c r="G222" s="130"/>
    </row>
    <row r="223" spans="1:7" x14ac:dyDescent="0.2">
      <c r="A223" s="392" t="s">
        <v>79</v>
      </c>
      <c r="B223" s="322"/>
      <c r="C223" s="321">
        <f>SUM(C218:C222)</f>
        <v>1</v>
      </c>
      <c r="D223" s="394">
        <v>1.0744499999999999</v>
      </c>
      <c r="E223" s="395" t="s">
        <v>113</v>
      </c>
      <c r="F223" s="396"/>
    </row>
    <row r="224" spans="1:7" x14ac:dyDescent="0.2">
      <c r="A224" s="319" t="s">
        <v>237</v>
      </c>
      <c r="B224" s="398">
        <f>Paints!C63</f>
        <v>0</v>
      </c>
      <c r="C224" s="399" t="s">
        <v>57</v>
      </c>
      <c r="D224" s="398">
        <v>0.88600000000000001</v>
      </c>
      <c r="E224" s="400" t="s">
        <v>58</v>
      </c>
      <c r="F224" s="401" t="s">
        <v>212</v>
      </c>
    </row>
    <row r="225" spans="1:7" s="130" customFormat="1" x14ac:dyDescent="0.2">
      <c r="A225" s="388" t="s">
        <v>238</v>
      </c>
      <c r="B225" s="389"/>
      <c r="C225" s="320">
        <v>0.03</v>
      </c>
      <c r="D225" s="390">
        <v>0.101004</v>
      </c>
      <c r="E225" s="391" t="s">
        <v>113</v>
      </c>
      <c r="F225" s="387"/>
      <c r="G225" s="129"/>
    </row>
    <row r="226" spans="1:7" x14ac:dyDescent="0.2">
      <c r="A226" s="388" t="s">
        <v>239</v>
      </c>
      <c r="B226" s="389" t="s">
        <v>94</v>
      </c>
      <c r="C226" s="320">
        <v>0.02</v>
      </c>
      <c r="D226" s="671">
        <v>6.7336000000000007E-2</v>
      </c>
      <c r="E226" s="391" t="s">
        <v>113</v>
      </c>
      <c r="F226" s="387"/>
    </row>
    <row r="227" spans="1:7" x14ac:dyDescent="0.2">
      <c r="A227" s="388" t="s">
        <v>74</v>
      </c>
      <c r="B227" s="389" t="s">
        <v>29</v>
      </c>
      <c r="C227" s="320">
        <v>0.09</v>
      </c>
      <c r="D227" s="671">
        <v>0.303012</v>
      </c>
      <c r="E227" s="391" t="s">
        <v>113</v>
      </c>
      <c r="F227" s="387"/>
    </row>
    <row r="228" spans="1:7" x14ac:dyDescent="0.2">
      <c r="A228" s="388" t="s">
        <v>55</v>
      </c>
      <c r="B228" s="389" t="s">
        <v>35</v>
      </c>
      <c r="C228" s="320">
        <v>0.06</v>
      </c>
      <c r="D228" s="671">
        <v>0.20200799999999999</v>
      </c>
      <c r="E228" s="391" t="s">
        <v>113</v>
      </c>
      <c r="F228" s="387"/>
    </row>
    <row r="229" spans="1:7" x14ac:dyDescent="0.2">
      <c r="A229" s="388" t="s">
        <v>230</v>
      </c>
      <c r="B229" s="389" t="s">
        <v>36</v>
      </c>
      <c r="C229" s="320">
        <v>0.46</v>
      </c>
      <c r="D229" s="671">
        <v>1.5487280000000001</v>
      </c>
      <c r="E229" s="391" t="s">
        <v>113</v>
      </c>
      <c r="F229" s="387"/>
    </row>
    <row r="230" spans="1:7" s="130" customFormat="1" x14ac:dyDescent="0.2">
      <c r="A230" s="388" t="s">
        <v>220</v>
      </c>
      <c r="B230" s="389" t="s">
        <v>191</v>
      </c>
      <c r="C230" s="320">
        <v>0.28000000000000003</v>
      </c>
      <c r="D230" s="671">
        <v>0.9427040000000001</v>
      </c>
      <c r="E230" s="391" t="s">
        <v>113</v>
      </c>
      <c r="F230" s="387"/>
      <c r="G230" s="129"/>
    </row>
    <row r="231" spans="1:7" x14ac:dyDescent="0.2">
      <c r="A231" s="388" t="s">
        <v>236</v>
      </c>
      <c r="B231" s="389" t="s">
        <v>204</v>
      </c>
      <c r="C231" s="320">
        <v>0.04</v>
      </c>
      <c r="D231" s="671">
        <v>0.13467200000000001</v>
      </c>
      <c r="E231" s="391" t="s">
        <v>113</v>
      </c>
      <c r="F231" s="387"/>
    </row>
    <row r="232" spans="1:7" x14ac:dyDescent="0.2">
      <c r="A232" s="392" t="s">
        <v>240</v>
      </c>
      <c r="B232" s="322" t="s">
        <v>420</v>
      </c>
      <c r="C232" s="321">
        <v>0.02</v>
      </c>
      <c r="D232" s="672">
        <v>6.7336000000000007E-2</v>
      </c>
      <c r="E232" s="395" t="s">
        <v>113</v>
      </c>
      <c r="F232" s="396"/>
      <c r="G232" s="130"/>
    </row>
    <row r="233" spans="1:7" x14ac:dyDescent="0.2">
      <c r="A233" s="392" t="s">
        <v>79</v>
      </c>
      <c r="B233" s="322"/>
      <c r="C233" s="321">
        <f>SUM(C225:C232)</f>
        <v>1</v>
      </c>
      <c r="D233" s="394">
        <v>3.3668</v>
      </c>
      <c r="E233" s="395" t="s">
        <v>113</v>
      </c>
      <c r="F233" s="396"/>
    </row>
    <row r="234" spans="1:7" x14ac:dyDescent="0.2">
      <c r="A234" s="319" t="s">
        <v>328</v>
      </c>
      <c r="B234" s="398">
        <f>Paints!D63</f>
        <v>0</v>
      </c>
      <c r="C234" s="399" t="s">
        <v>57</v>
      </c>
      <c r="D234" s="398">
        <v>0.89900000000000002</v>
      </c>
      <c r="E234" s="400" t="s">
        <v>58</v>
      </c>
      <c r="F234" s="401" t="s">
        <v>212</v>
      </c>
    </row>
    <row r="235" spans="1:7" x14ac:dyDescent="0.2">
      <c r="A235" s="388" t="s">
        <v>62</v>
      </c>
      <c r="B235" s="389"/>
      <c r="C235" s="320">
        <v>0</v>
      </c>
      <c r="D235" s="390">
        <v>0</v>
      </c>
      <c r="E235" s="391" t="s">
        <v>113</v>
      </c>
      <c r="F235" s="387"/>
    </row>
    <row r="236" spans="1:7" s="130" customFormat="1" x14ac:dyDescent="0.2">
      <c r="A236" s="388" t="s">
        <v>70</v>
      </c>
      <c r="B236" s="389" t="s">
        <v>20</v>
      </c>
      <c r="C236" s="320">
        <v>0.7</v>
      </c>
      <c r="D236" s="671">
        <v>0</v>
      </c>
      <c r="E236" s="391" t="s">
        <v>113</v>
      </c>
      <c r="F236" s="387"/>
      <c r="G236" s="129"/>
    </row>
    <row r="237" spans="1:7" x14ac:dyDescent="0.2">
      <c r="A237" s="392" t="s">
        <v>312</v>
      </c>
      <c r="B237" s="322" t="s">
        <v>207</v>
      </c>
      <c r="C237" s="321">
        <v>0.3</v>
      </c>
      <c r="D237" s="672">
        <v>0</v>
      </c>
      <c r="E237" s="395" t="s">
        <v>113</v>
      </c>
      <c r="F237" s="396"/>
      <c r="G237" s="130"/>
    </row>
    <row r="238" spans="1:7" x14ac:dyDescent="0.2">
      <c r="A238" s="388" t="s">
        <v>79</v>
      </c>
      <c r="B238" s="389"/>
      <c r="C238" s="320">
        <f>SUM(C235:C237)</f>
        <v>1</v>
      </c>
      <c r="D238" s="390">
        <v>0</v>
      </c>
      <c r="E238" s="391" t="s">
        <v>113</v>
      </c>
      <c r="F238" s="387"/>
    </row>
    <row r="239" spans="1:7" x14ac:dyDescent="0.2">
      <c r="A239" s="426" t="s">
        <v>271</v>
      </c>
      <c r="B239" s="398">
        <f>Paints!E63</f>
        <v>11.399999999999999</v>
      </c>
      <c r="C239" s="399" t="s">
        <v>57</v>
      </c>
      <c r="D239" s="398">
        <v>1.1950000000000001</v>
      </c>
      <c r="E239" s="400" t="s">
        <v>58</v>
      </c>
      <c r="F239" s="427" t="s">
        <v>212</v>
      </c>
    </row>
    <row r="240" spans="1:7" x14ac:dyDescent="0.2">
      <c r="A240" s="428" t="s">
        <v>62</v>
      </c>
      <c r="B240" s="389"/>
      <c r="C240" s="320">
        <v>0</v>
      </c>
      <c r="D240" s="390">
        <f>B$239*D$239*C240</f>
        <v>0</v>
      </c>
      <c r="E240" s="391" t="s">
        <v>276</v>
      </c>
      <c r="F240" s="429"/>
    </row>
    <row r="241" spans="1:7" x14ac:dyDescent="0.2">
      <c r="A241" s="428" t="s">
        <v>272</v>
      </c>
      <c r="B241" s="389" t="s">
        <v>207</v>
      </c>
      <c r="C241" s="320">
        <v>0.27</v>
      </c>
      <c r="D241" s="671">
        <f>B$239*D$239*C241</f>
        <v>3.67821</v>
      </c>
      <c r="E241" s="391" t="s">
        <v>113</v>
      </c>
      <c r="F241" s="429"/>
    </row>
    <row r="242" spans="1:7" s="130" customFormat="1" x14ac:dyDescent="0.2">
      <c r="A242" s="428" t="s">
        <v>277</v>
      </c>
      <c r="B242" s="389" t="s">
        <v>278</v>
      </c>
      <c r="C242" s="320">
        <v>1.5E-3</v>
      </c>
      <c r="D242" s="671">
        <f>B$239*D$239*C242</f>
        <v>2.0434499999999998E-2</v>
      </c>
      <c r="E242" s="391" t="s">
        <v>113</v>
      </c>
      <c r="F242" s="429"/>
      <c r="G242" s="129"/>
    </row>
    <row r="243" spans="1:7" x14ac:dyDescent="0.2">
      <c r="A243" s="430" t="s">
        <v>242</v>
      </c>
      <c r="B243" s="322" t="s">
        <v>279</v>
      </c>
      <c r="C243" s="321">
        <v>0.73</v>
      </c>
      <c r="D243" s="672">
        <f>B$239*D$239*C243</f>
        <v>9.9447899999999994</v>
      </c>
      <c r="E243" s="395" t="s">
        <v>113</v>
      </c>
      <c r="F243" s="431"/>
      <c r="G243" s="130"/>
    </row>
    <row r="244" spans="1:7" x14ac:dyDescent="0.2">
      <c r="A244" s="506" t="s">
        <v>79</v>
      </c>
      <c r="B244" s="439"/>
      <c r="C244" s="440">
        <f>SUM(C240:C243)</f>
        <v>1.0015000000000001</v>
      </c>
      <c r="D244" s="441">
        <f>SUM(D240:D243)</f>
        <v>13.6434345</v>
      </c>
      <c r="E244" s="442" t="s">
        <v>113</v>
      </c>
      <c r="F244" s="507"/>
      <c r="G244" s="136"/>
    </row>
    <row r="245" spans="1:7" x14ac:dyDescent="0.2">
      <c r="A245" s="319" t="s">
        <v>313</v>
      </c>
      <c r="B245" s="398">
        <f>Paints!F63</f>
        <v>0</v>
      </c>
      <c r="C245" s="399" t="s">
        <v>57</v>
      </c>
      <c r="D245" s="398">
        <v>1.2270000000000001</v>
      </c>
      <c r="E245" s="400" t="s">
        <v>58</v>
      </c>
      <c r="F245" s="401" t="s">
        <v>212</v>
      </c>
    </row>
    <row r="246" spans="1:7" x14ac:dyDescent="0.2">
      <c r="A246" s="388" t="s">
        <v>62</v>
      </c>
      <c r="B246" s="389"/>
      <c r="C246" s="320">
        <v>0</v>
      </c>
      <c r="D246" s="390">
        <v>0</v>
      </c>
      <c r="E246" s="391" t="s">
        <v>113</v>
      </c>
      <c r="F246" s="387"/>
    </row>
    <row r="247" spans="1:7" x14ac:dyDescent="0.2">
      <c r="A247" s="388" t="s">
        <v>272</v>
      </c>
      <c r="B247" s="389" t="s">
        <v>207</v>
      </c>
      <c r="C247" s="320">
        <v>0.43</v>
      </c>
      <c r="D247" s="671">
        <v>0</v>
      </c>
      <c r="E247" s="391" t="s">
        <v>113</v>
      </c>
      <c r="F247" s="387"/>
    </row>
    <row r="248" spans="1:7" s="130" customFormat="1" x14ac:dyDescent="0.2">
      <c r="A248" s="388" t="s">
        <v>236</v>
      </c>
      <c r="B248" s="389" t="s">
        <v>204</v>
      </c>
      <c r="C248" s="320">
        <v>0.56899999999999995</v>
      </c>
      <c r="D248" s="671">
        <v>0</v>
      </c>
      <c r="E248" s="391" t="s">
        <v>113</v>
      </c>
      <c r="F248" s="387"/>
      <c r="G248" s="129"/>
    </row>
    <row r="249" spans="1:7" x14ac:dyDescent="0.2">
      <c r="A249" s="392" t="s">
        <v>277</v>
      </c>
      <c r="B249" s="322" t="s">
        <v>278</v>
      </c>
      <c r="C249" s="321">
        <v>1E-3</v>
      </c>
      <c r="D249" s="672">
        <v>0</v>
      </c>
      <c r="E249" s="395" t="s">
        <v>113</v>
      </c>
      <c r="F249" s="396"/>
      <c r="G249" s="130"/>
    </row>
    <row r="250" spans="1:7" x14ac:dyDescent="0.2">
      <c r="A250" s="392" t="s">
        <v>79</v>
      </c>
      <c r="B250" s="322"/>
      <c r="C250" s="321">
        <f>SUM(C246:C249)</f>
        <v>0.99999999999999989</v>
      </c>
      <c r="D250" s="394">
        <v>0</v>
      </c>
      <c r="E250" s="395" t="s">
        <v>113</v>
      </c>
      <c r="F250" s="396"/>
    </row>
    <row r="251" spans="1:7" x14ac:dyDescent="0.2">
      <c r="A251" s="319" t="s">
        <v>269</v>
      </c>
      <c r="B251" s="398">
        <f>Paints!G63</f>
        <v>38</v>
      </c>
      <c r="C251" s="399" t="s">
        <v>57</v>
      </c>
      <c r="D251" s="398">
        <v>1.276</v>
      </c>
      <c r="E251" s="400" t="s">
        <v>58</v>
      </c>
      <c r="F251" s="401" t="s">
        <v>212</v>
      </c>
    </row>
    <row r="252" spans="1:7" x14ac:dyDescent="0.2">
      <c r="A252" s="388" t="s">
        <v>62</v>
      </c>
      <c r="B252" s="389"/>
      <c r="C252" s="320">
        <v>0.48770000000000002</v>
      </c>
      <c r="D252" s="390">
        <f>B$251*D$251*C252</f>
        <v>23.647597600000001</v>
      </c>
      <c r="E252" s="391" t="s">
        <v>58</v>
      </c>
      <c r="F252" s="387"/>
    </row>
    <row r="253" spans="1:7" x14ac:dyDescent="0.2">
      <c r="A253" s="388" t="s">
        <v>99</v>
      </c>
      <c r="B253" s="389" t="s">
        <v>94</v>
      </c>
      <c r="C253" s="320">
        <v>1E-3</v>
      </c>
      <c r="D253" s="671">
        <f>B$251*D$251*C253</f>
        <v>4.8488000000000003E-2</v>
      </c>
      <c r="E253" s="391" t="s">
        <v>113</v>
      </c>
      <c r="F253" s="387"/>
    </row>
    <row r="254" spans="1:7" x14ac:dyDescent="0.2">
      <c r="A254" s="388" t="s">
        <v>272</v>
      </c>
      <c r="B254" s="389" t="s">
        <v>207</v>
      </c>
      <c r="C254" s="320">
        <v>0.48770000000000002</v>
      </c>
      <c r="D254" s="671">
        <f>B$251*D$251*C254</f>
        <v>23.647597600000001</v>
      </c>
      <c r="E254" s="391" t="s">
        <v>58</v>
      </c>
      <c r="F254" s="387"/>
    </row>
    <row r="255" spans="1:7" s="130" customFormat="1" x14ac:dyDescent="0.2">
      <c r="A255" s="392" t="s">
        <v>243</v>
      </c>
      <c r="B255" s="322" t="s">
        <v>23</v>
      </c>
      <c r="C255" s="321">
        <v>2.0799999999999999E-2</v>
      </c>
      <c r="D255" s="672">
        <f>B$251*D$251*C255</f>
        <v>1.0085503999999998</v>
      </c>
      <c r="E255" s="395" t="s">
        <v>58</v>
      </c>
      <c r="F255" s="396"/>
    </row>
    <row r="256" spans="1:7" x14ac:dyDescent="0.2">
      <c r="A256" s="392" t="s">
        <v>79</v>
      </c>
      <c r="B256" s="322"/>
      <c r="C256" s="321">
        <f>SUM(C252:C255)</f>
        <v>0.99720000000000009</v>
      </c>
      <c r="D256" s="394">
        <f>SUM(D252:D255)</f>
        <v>48.352233599999998</v>
      </c>
      <c r="E256" s="395" t="s">
        <v>58</v>
      </c>
      <c r="F256" s="396"/>
      <c r="G256" s="136"/>
    </row>
    <row r="257" spans="1:7" x14ac:dyDescent="0.2">
      <c r="A257" s="319" t="s">
        <v>273</v>
      </c>
      <c r="B257" s="398">
        <f>Paints!H63</f>
        <v>30.4</v>
      </c>
      <c r="C257" s="399" t="s">
        <v>57</v>
      </c>
      <c r="D257" s="398">
        <v>1.167</v>
      </c>
      <c r="E257" s="400" t="s">
        <v>58</v>
      </c>
      <c r="F257" s="401" t="s">
        <v>212</v>
      </c>
    </row>
    <row r="258" spans="1:7" x14ac:dyDescent="0.2">
      <c r="A258" s="388" t="s">
        <v>62</v>
      </c>
      <c r="B258" s="389"/>
      <c r="C258" s="320">
        <v>0</v>
      </c>
      <c r="D258" s="390">
        <f>B$257*D$257*C258</f>
        <v>0</v>
      </c>
      <c r="E258" s="391" t="s">
        <v>276</v>
      </c>
      <c r="F258" s="387"/>
    </row>
    <row r="259" spans="1:7" x14ac:dyDescent="0.2">
      <c r="A259" s="388" t="s">
        <v>272</v>
      </c>
      <c r="B259" s="389" t="s">
        <v>207</v>
      </c>
      <c r="C259" s="320">
        <v>0.68230000000000002</v>
      </c>
      <c r="D259" s="671">
        <f>B$257*D$257*C259</f>
        <v>24.205820639999999</v>
      </c>
      <c r="E259" s="391" t="s">
        <v>276</v>
      </c>
      <c r="F259" s="387"/>
    </row>
    <row r="260" spans="1:7" x14ac:dyDescent="0.2">
      <c r="A260" s="388" t="s">
        <v>70</v>
      </c>
      <c r="B260" s="389" t="s">
        <v>20</v>
      </c>
      <c r="C260" s="320">
        <v>0.1273</v>
      </c>
      <c r="D260" s="671">
        <f>B$257*D$257*C260</f>
        <v>4.5161966399999995</v>
      </c>
      <c r="E260" s="391" t="s">
        <v>276</v>
      </c>
      <c r="F260" s="387"/>
    </row>
    <row r="261" spans="1:7" x14ac:dyDescent="0.2">
      <c r="A261" s="388" t="s">
        <v>274</v>
      </c>
      <c r="B261" s="389" t="s">
        <v>35</v>
      </c>
      <c r="C261" s="320">
        <v>0.156</v>
      </c>
      <c r="D261" s="671">
        <f>B$257*D$257*C261</f>
        <v>5.5343807999999992</v>
      </c>
      <c r="E261" s="391" t="s">
        <v>276</v>
      </c>
      <c r="F261" s="387"/>
    </row>
    <row r="262" spans="1:7" x14ac:dyDescent="0.2">
      <c r="A262" s="392" t="s">
        <v>275</v>
      </c>
      <c r="B262" s="322" t="s">
        <v>198</v>
      </c>
      <c r="C262" s="321">
        <v>3.44E-2</v>
      </c>
      <c r="D262" s="672">
        <f>B$257*D$257*C262</f>
        <v>1.2204019199999998</v>
      </c>
      <c r="E262" s="395" t="s">
        <v>276</v>
      </c>
      <c r="F262" s="396"/>
      <c r="G262" s="130"/>
    </row>
    <row r="263" spans="1:7" x14ac:dyDescent="0.2">
      <c r="A263" s="392" t="s">
        <v>79</v>
      </c>
      <c r="B263" s="322"/>
      <c r="C263" s="321">
        <f>SUM(C258:C262)</f>
        <v>1</v>
      </c>
      <c r="D263" s="394">
        <f>SUM(D258:D262)</f>
        <v>35.476799999999997</v>
      </c>
      <c r="E263" s="395" t="s">
        <v>276</v>
      </c>
      <c r="F263" s="396"/>
      <c r="G263" s="136"/>
    </row>
    <row r="264" spans="1:7" s="130" customFormat="1" x14ac:dyDescent="0.2">
      <c r="A264" s="319" t="s">
        <v>330</v>
      </c>
      <c r="B264" s="398">
        <f>Paints!I63</f>
        <v>0</v>
      </c>
      <c r="C264" s="399" t="s">
        <v>57</v>
      </c>
      <c r="D264" s="398">
        <v>1.387</v>
      </c>
      <c r="E264" s="400" t="s">
        <v>58</v>
      </c>
      <c r="F264" s="401" t="s">
        <v>212</v>
      </c>
      <c r="G264" s="129"/>
    </row>
    <row r="265" spans="1:7" x14ac:dyDescent="0.2">
      <c r="A265" s="388" t="s">
        <v>62</v>
      </c>
      <c r="B265" s="389"/>
      <c r="C265" s="320">
        <v>0.65799999999999992</v>
      </c>
      <c r="D265" s="390">
        <f t="shared" ref="D265:D271" si="14">B$264*D$264*C265</f>
        <v>0</v>
      </c>
      <c r="E265" s="391" t="s">
        <v>276</v>
      </c>
      <c r="F265" s="387"/>
    </row>
    <row r="266" spans="1:7" x14ac:dyDescent="0.2">
      <c r="A266" s="388" t="s">
        <v>229</v>
      </c>
      <c r="B266" s="389" t="s">
        <v>94</v>
      </c>
      <c r="C266" s="320">
        <v>2E-3</v>
      </c>
      <c r="D266" s="671">
        <f t="shared" si="14"/>
        <v>0</v>
      </c>
      <c r="E266" s="391" t="s">
        <v>276</v>
      </c>
      <c r="F266" s="387"/>
    </row>
    <row r="267" spans="1:7" x14ac:dyDescent="0.2">
      <c r="A267" s="388" t="s">
        <v>70</v>
      </c>
      <c r="B267" s="389" t="s">
        <v>20</v>
      </c>
      <c r="C267" s="320">
        <v>0.14000000000000001</v>
      </c>
      <c r="D267" s="671">
        <f t="shared" si="14"/>
        <v>0</v>
      </c>
      <c r="E267" s="391" t="s">
        <v>276</v>
      </c>
      <c r="F267" s="387"/>
    </row>
    <row r="268" spans="1:7" x14ac:dyDescent="0.2">
      <c r="A268" s="388" t="s">
        <v>230</v>
      </c>
      <c r="B268" s="389" t="s">
        <v>36</v>
      </c>
      <c r="C268" s="320">
        <v>7.0000000000000007E-2</v>
      </c>
      <c r="D268" s="671">
        <f t="shared" si="14"/>
        <v>0</v>
      </c>
      <c r="E268" s="391" t="s">
        <v>276</v>
      </c>
      <c r="F268" s="387"/>
    </row>
    <row r="269" spans="1:7" s="130" customFormat="1" x14ac:dyDescent="0.2">
      <c r="A269" s="388" t="s">
        <v>331</v>
      </c>
      <c r="B269" s="389" t="s">
        <v>332</v>
      </c>
      <c r="C269" s="320">
        <v>0.09</v>
      </c>
      <c r="D269" s="671">
        <f t="shared" si="14"/>
        <v>0</v>
      </c>
      <c r="E269" s="391" t="s">
        <v>276</v>
      </c>
      <c r="F269" s="387"/>
      <c r="G269" s="129"/>
    </row>
    <row r="270" spans="1:7" x14ac:dyDescent="0.2">
      <c r="A270" s="388" t="s">
        <v>333</v>
      </c>
      <c r="B270" s="389" t="s">
        <v>23</v>
      </c>
      <c r="C270" s="320">
        <v>0.02</v>
      </c>
      <c r="D270" s="671">
        <f t="shared" si="14"/>
        <v>0</v>
      </c>
      <c r="E270" s="391" t="s">
        <v>276</v>
      </c>
      <c r="F270" s="387"/>
    </row>
    <row r="271" spans="1:7" x14ac:dyDescent="0.2">
      <c r="A271" s="392" t="s">
        <v>334</v>
      </c>
      <c r="B271" s="322" t="s">
        <v>335</v>
      </c>
      <c r="C271" s="321">
        <v>0.02</v>
      </c>
      <c r="D271" s="672">
        <f t="shared" si="14"/>
        <v>0</v>
      </c>
      <c r="E271" s="395" t="s">
        <v>276</v>
      </c>
      <c r="F271" s="396"/>
      <c r="G271" s="130"/>
    </row>
    <row r="272" spans="1:7" x14ac:dyDescent="0.2">
      <c r="A272" s="392" t="s">
        <v>79</v>
      </c>
      <c r="B272" s="322"/>
      <c r="C272" s="321">
        <f>SUM(C265:C271)</f>
        <v>0.99999999999999989</v>
      </c>
      <c r="D272" s="394">
        <f>SUM(D265:D271)</f>
        <v>0</v>
      </c>
      <c r="E272" s="395" t="s">
        <v>276</v>
      </c>
      <c r="F272" s="396"/>
    </row>
    <row r="273" spans="1:7" x14ac:dyDescent="0.2">
      <c r="A273" s="319" t="s">
        <v>336</v>
      </c>
      <c r="B273" s="398">
        <f>Paints!J63</f>
        <v>0</v>
      </c>
      <c r="C273" s="399" t="s">
        <v>57</v>
      </c>
      <c r="D273" s="398">
        <v>0.99</v>
      </c>
      <c r="E273" s="400" t="s">
        <v>58</v>
      </c>
      <c r="F273" s="401" t="s">
        <v>212</v>
      </c>
    </row>
    <row r="274" spans="1:7" x14ac:dyDescent="0.2">
      <c r="A274" s="388" t="s">
        <v>62</v>
      </c>
      <c r="B274" s="389"/>
      <c r="C274" s="320">
        <v>0.62000000000000011</v>
      </c>
      <c r="D274" s="390">
        <f>B$273*D$273*C274</f>
        <v>0</v>
      </c>
      <c r="E274" s="391" t="s">
        <v>276</v>
      </c>
      <c r="F274" s="387"/>
    </row>
    <row r="275" spans="1:7" x14ac:dyDescent="0.2">
      <c r="A275" s="388" t="s">
        <v>233</v>
      </c>
      <c r="B275" s="389" t="s">
        <v>207</v>
      </c>
      <c r="C275" s="320">
        <v>0.18</v>
      </c>
      <c r="D275" s="671">
        <f>B$273*D$273*C275</f>
        <v>0</v>
      </c>
      <c r="E275" s="391" t="s">
        <v>276</v>
      </c>
      <c r="F275" s="387"/>
    </row>
    <row r="276" spans="1:7" x14ac:dyDescent="0.2">
      <c r="A276" s="392" t="s">
        <v>42</v>
      </c>
      <c r="B276" s="322" t="s">
        <v>21</v>
      </c>
      <c r="C276" s="321">
        <v>0.2</v>
      </c>
      <c r="D276" s="672">
        <f>B$273*D$273*C276</f>
        <v>0</v>
      </c>
      <c r="E276" s="395" t="s">
        <v>276</v>
      </c>
      <c r="F276" s="396"/>
      <c r="G276" s="130"/>
    </row>
    <row r="277" spans="1:7" x14ac:dyDescent="0.2">
      <c r="A277" s="392" t="s">
        <v>79</v>
      </c>
      <c r="B277" s="322"/>
      <c r="C277" s="321">
        <f>SUM(C274:C276)</f>
        <v>1</v>
      </c>
      <c r="D277" s="394">
        <f>SUM(D274:D276)</f>
        <v>0</v>
      </c>
      <c r="E277" s="395" t="s">
        <v>276</v>
      </c>
      <c r="F277" s="396"/>
    </row>
    <row r="278" spans="1:7" x14ac:dyDescent="0.2">
      <c r="A278" s="319" t="s">
        <v>378</v>
      </c>
      <c r="B278" s="398">
        <f>Paints!K63</f>
        <v>0</v>
      </c>
      <c r="C278" s="399" t="s">
        <v>57</v>
      </c>
      <c r="D278" s="398">
        <v>1.3744042200000002</v>
      </c>
      <c r="E278" s="400" t="s">
        <v>58</v>
      </c>
      <c r="F278" s="401" t="s">
        <v>212</v>
      </c>
    </row>
    <row r="279" spans="1:7" x14ac:dyDescent="0.2">
      <c r="A279" s="388" t="s">
        <v>62</v>
      </c>
      <c r="B279" s="389"/>
      <c r="C279" s="320">
        <v>0.65</v>
      </c>
      <c r="D279" s="390">
        <f>B$278*D$278*C279</f>
        <v>0</v>
      </c>
      <c r="E279" s="391" t="s">
        <v>276</v>
      </c>
      <c r="F279" s="387"/>
    </row>
    <row r="280" spans="1:7" x14ac:dyDescent="0.2">
      <c r="A280" s="388" t="s">
        <v>70</v>
      </c>
      <c r="B280" s="389" t="s">
        <v>20</v>
      </c>
      <c r="C280" s="320">
        <v>0.17499999999999999</v>
      </c>
      <c r="D280" s="671">
        <f>B$278*D$278*C280</f>
        <v>0</v>
      </c>
      <c r="E280" s="391" t="s">
        <v>276</v>
      </c>
      <c r="F280" s="387"/>
    </row>
    <row r="281" spans="1:7" x14ac:dyDescent="0.2">
      <c r="A281" s="388" t="s">
        <v>383</v>
      </c>
      <c r="B281" s="389" t="s">
        <v>384</v>
      </c>
      <c r="C281" s="320">
        <v>0.16500000000000001</v>
      </c>
      <c r="D281" s="671">
        <f>B$278*D$278*C281</f>
        <v>0</v>
      </c>
      <c r="E281" s="391" t="s">
        <v>276</v>
      </c>
      <c r="F281" s="387"/>
    </row>
    <row r="282" spans="1:7" s="134" customFormat="1" ht="15.75" x14ac:dyDescent="0.2">
      <c r="A282" s="388" t="s">
        <v>76</v>
      </c>
      <c r="B282" s="389" t="s">
        <v>31</v>
      </c>
      <c r="C282" s="320">
        <v>0.01</v>
      </c>
      <c r="D282" s="671">
        <f>B$278*D$278*C282</f>
        <v>0</v>
      </c>
      <c r="E282" s="391" t="s">
        <v>276</v>
      </c>
      <c r="F282" s="387"/>
      <c r="G282" s="129"/>
    </row>
    <row r="283" spans="1:7" x14ac:dyDescent="0.2">
      <c r="A283" s="392" t="s">
        <v>79</v>
      </c>
      <c r="B283" s="322"/>
      <c r="C283" s="321">
        <f>SUM(C279:C282)</f>
        <v>1</v>
      </c>
      <c r="D283" s="394">
        <f>SUM(D279:D282)</f>
        <v>0</v>
      </c>
      <c r="E283" s="395" t="s">
        <v>276</v>
      </c>
      <c r="F283" s="396"/>
    </row>
    <row r="284" spans="1:7" x14ac:dyDescent="0.2">
      <c r="A284" s="319" t="s">
        <v>379</v>
      </c>
      <c r="B284" s="398">
        <f>Paints!L63</f>
        <v>0</v>
      </c>
      <c r="C284" s="399" t="s">
        <v>57</v>
      </c>
      <c r="D284" s="398">
        <v>1.0352966400000001</v>
      </c>
      <c r="E284" s="400" t="s">
        <v>58</v>
      </c>
      <c r="F284" s="401" t="s">
        <v>212</v>
      </c>
    </row>
    <row r="285" spans="1:7" x14ac:dyDescent="0.2">
      <c r="A285" s="418" t="s">
        <v>530</v>
      </c>
      <c r="B285" s="402"/>
      <c r="C285" s="384">
        <v>0.25</v>
      </c>
      <c r="D285" s="383">
        <f>B$284*D$284*C285</f>
        <v>0</v>
      </c>
      <c r="E285" s="391" t="s">
        <v>276</v>
      </c>
      <c r="F285" s="387"/>
    </row>
    <row r="286" spans="1:7" x14ac:dyDescent="0.2">
      <c r="A286" s="388" t="s">
        <v>385</v>
      </c>
      <c r="B286" s="389" t="s">
        <v>386</v>
      </c>
      <c r="C286" s="320">
        <v>0.69</v>
      </c>
      <c r="D286" s="674">
        <f>B$284*D$284*C286</f>
        <v>0</v>
      </c>
      <c r="E286" s="391" t="s">
        <v>276</v>
      </c>
      <c r="F286" s="387"/>
    </row>
    <row r="287" spans="1:7" x14ac:dyDescent="0.2">
      <c r="A287" s="388" t="s">
        <v>387</v>
      </c>
      <c r="B287" s="389" t="s">
        <v>388</v>
      </c>
      <c r="C287" s="320">
        <v>0.03</v>
      </c>
      <c r="D287" s="674">
        <f>B$284*D$284*C287</f>
        <v>0</v>
      </c>
      <c r="E287" s="391" t="s">
        <v>276</v>
      </c>
      <c r="F287" s="387"/>
    </row>
    <row r="288" spans="1:7" x14ac:dyDescent="0.2">
      <c r="A288" s="392" t="s">
        <v>389</v>
      </c>
      <c r="B288" s="322" t="s">
        <v>390</v>
      </c>
      <c r="C288" s="321">
        <v>0.03</v>
      </c>
      <c r="D288" s="681">
        <f>B$284*D$284*C288</f>
        <v>0</v>
      </c>
      <c r="E288" s="395" t="s">
        <v>276</v>
      </c>
      <c r="F288" s="396"/>
    </row>
    <row r="289" spans="1:7" ht="16.5" thickBot="1" x14ac:dyDescent="0.25">
      <c r="A289" s="408" t="s">
        <v>79</v>
      </c>
      <c r="B289" s="409"/>
      <c r="C289" s="410">
        <f>SUM(C285:C288)</f>
        <v>1</v>
      </c>
      <c r="D289" s="411">
        <f>SUM(D285:D288)</f>
        <v>0</v>
      </c>
      <c r="E289" s="412" t="s">
        <v>276</v>
      </c>
      <c r="F289" s="413"/>
      <c r="G289" s="134"/>
    </row>
    <row r="290" spans="1:7" s="130" customFormat="1" ht="13.5" thickBot="1" x14ac:dyDescent="0.25">
      <c r="A290" s="414"/>
      <c r="B290" s="415"/>
      <c r="C290" s="416"/>
      <c r="D290" s="417"/>
      <c r="E290" s="414"/>
      <c r="F290" s="377"/>
      <c r="G290" s="129"/>
    </row>
    <row r="291" spans="1:7" ht="16.5" thickBot="1" x14ac:dyDescent="0.25">
      <c r="A291" s="591" t="s">
        <v>542</v>
      </c>
      <c r="B291" s="592"/>
      <c r="C291" s="592"/>
      <c r="D291" s="592"/>
      <c r="E291" s="592"/>
      <c r="F291" s="593"/>
    </row>
    <row r="292" spans="1:7" ht="16.5" thickBot="1" x14ac:dyDescent="0.25">
      <c r="A292" s="376"/>
      <c r="B292" s="377" t="s">
        <v>38</v>
      </c>
      <c r="C292" s="378"/>
      <c r="D292" s="379" t="s">
        <v>39</v>
      </c>
      <c r="E292" s="380"/>
      <c r="F292" s="381"/>
    </row>
    <row r="293" spans="1:7" x14ac:dyDescent="0.2">
      <c r="A293" s="433" t="s">
        <v>253</v>
      </c>
      <c r="B293" s="434">
        <f>Paints!M63</f>
        <v>45.4</v>
      </c>
      <c r="C293" s="435" t="s">
        <v>113</v>
      </c>
      <c r="D293" s="434">
        <v>1.6</v>
      </c>
      <c r="E293" s="436" t="s">
        <v>58</v>
      </c>
      <c r="F293" s="437" t="s">
        <v>212</v>
      </c>
    </row>
    <row r="294" spans="1:7" x14ac:dyDescent="0.2">
      <c r="A294" s="388" t="s">
        <v>62</v>
      </c>
      <c r="B294" s="389"/>
      <c r="C294" s="320">
        <v>0.7</v>
      </c>
      <c r="D294" s="390">
        <f>B$293*D$293*C294</f>
        <v>50.847999999999999</v>
      </c>
      <c r="E294" s="391" t="s">
        <v>113</v>
      </c>
      <c r="F294" s="387"/>
    </row>
    <row r="295" spans="1:7" ht="15.75" x14ac:dyDescent="0.2">
      <c r="A295" s="388" t="s">
        <v>254</v>
      </c>
      <c r="B295" s="389" t="s">
        <v>69</v>
      </c>
      <c r="C295" s="320">
        <v>0.16</v>
      </c>
      <c r="D295" s="671">
        <f>B$293*D$293*C295</f>
        <v>11.622400000000001</v>
      </c>
      <c r="E295" s="391" t="s">
        <v>113</v>
      </c>
      <c r="F295" s="387"/>
      <c r="G295" s="134"/>
    </row>
    <row r="296" spans="1:7" x14ac:dyDescent="0.2">
      <c r="A296" s="388" t="s">
        <v>241</v>
      </c>
      <c r="B296" s="389" t="s">
        <v>25</v>
      </c>
      <c r="C296" s="320">
        <v>0.13</v>
      </c>
      <c r="D296" s="671">
        <f>B$293*D$293*C296</f>
        <v>9.4432000000000009</v>
      </c>
      <c r="E296" s="391" t="s">
        <v>113</v>
      </c>
      <c r="F296" s="387"/>
    </row>
    <row r="297" spans="1:7" x14ac:dyDescent="0.2">
      <c r="A297" s="392" t="s">
        <v>255</v>
      </c>
      <c r="B297" s="322" t="s">
        <v>256</v>
      </c>
      <c r="C297" s="321">
        <v>0.01</v>
      </c>
      <c r="D297" s="672">
        <f>B$293*D$293*C297</f>
        <v>0.72640000000000005</v>
      </c>
      <c r="E297" s="395" t="s">
        <v>113</v>
      </c>
      <c r="F297" s="396"/>
    </row>
    <row r="298" spans="1:7" ht="13.5" thickBot="1" x14ac:dyDescent="0.25">
      <c r="A298" s="438" t="s">
        <v>79</v>
      </c>
      <c r="B298" s="439"/>
      <c r="C298" s="440">
        <f>SUM(C294:C297)</f>
        <v>1</v>
      </c>
      <c r="D298" s="441">
        <f>SUM(D294:D297)</f>
        <v>72.64</v>
      </c>
      <c r="E298" s="442" t="s">
        <v>113</v>
      </c>
      <c r="F298" s="443"/>
    </row>
    <row r="299" spans="1:7" x14ac:dyDescent="0.2">
      <c r="A299" s="382" t="s">
        <v>541</v>
      </c>
      <c r="B299" s="402">
        <f>Paints!N63</f>
        <v>0</v>
      </c>
      <c r="C299" s="403" t="s">
        <v>113</v>
      </c>
      <c r="D299" s="434">
        <v>1.6</v>
      </c>
      <c r="E299" s="436" t="s">
        <v>58</v>
      </c>
      <c r="F299" s="437" t="s">
        <v>212</v>
      </c>
    </row>
    <row r="300" spans="1:7" x14ac:dyDescent="0.2">
      <c r="A300" s="388" t="s">
        <v>62</v>
      </c>
      <c r="B300" s="389"/>
      <c r="C300" s="320">
        <v>0.7</v>
      </c>
      <c r="D300" s="390">
        <f>D$304*C300</f>
        <v>0</v>
      </c>
      <c r="E300" s="391" t="s">
        <v>113</v>
      </c>
      <c r="F300" s="387"/>
    </row>
    <row r="301" spans="1:7" x14ac:dyDescent="0.2">
      <c r="A301" s="388" t="s">
        <v>254</v>
      </c>
      <c r="B301" s="389" t="s">
        <v>69</v>
      </c>
      <c r="C301" s="320">
        <v>0.16</v>
      </c>
      <c r="D301" s="671">
        <f t="shared" ref="D301:D303" si="15">D$304*C301</f>
        <v>0</v>
      </c>
      <c r="E301" s="391" t="s">
        <v>113</v>
      </c>
      <c r="F301" s="387"/>
    </row>
    <row r="302" spans="1:7" x14ac:dyDescent="0.2">
      <c r="A302" s="388" t="s">
        <v>241</v>
      </c>
      <c r="B302" s="389" t="s">
        <v>25</v>
      </c>
      <c r="C302" s="320">
        <v>0.13</v>
      </c>
      <c r="D302" s="671">
        <f t="shared" si="15"/>
        <v>0</v>
      </c>
      <c r="E302" s="391" t="s">
        <v>113</v>
      </c>
      <c r="F302" s="387"/>
    </row>
    <row r="303" spans="1:7" x14ac:dyDescent="0.2">
      <c r="A303" s="392" t="s">
        <v>255</v>
      </c>
      <c r="B303" s="322" t="s">
        <v>256</v>
      </c>
      <c r="C303" s="321">
        <v>0.01</v>
      </c>
      <c r="D303" s="671">
        <f t="shared" si="15"/>
        <v>0</v>
      </c>
      <c r="E303" s="395" t="s">
        <v>113</v>
      </c>
      <c r="F303" s="396"/>
    </row>
    <row r="304" spans="1:7" ht="13.5" thickBot="1" x14ac:dyDescent="0.25">
      <c r="A304" s="562" t="s">
        <v>79</v>
      </c>
      <c r="B304" s="500"/>
      <c r="C304" s="563">
        <f>SUM(C300:C303)</f>
        <v>1</v>
      </c>
      <c r="D304" s="502">
        <f>B299*D299</f>
        <v>0</v>
      </c>
      <c r="E304" s="503" t="s">
        <v>113</v>
      </c>
      <c r="F304" s="504"/>
    </row>
    <row r="305" spans="1:6" ht="13.5" thickBot="1" x14ac:dyDescent="0.25">
      <c r="A305" s="412"/>
      <c r="B305" s="409"/>
      <c r="C305" s="410"/>
      <c r="D305" s="411"/>
      <c r="E305" s="412"/>
      <c r="F305" s="561"/>
    </row>
    <row r="306" spans="1:6" ht="16.5" thickBot="1" x14ac:dyDescent="0.25">
      <c r="A306" s="558" t="s">
        <v>123</v>
      </c>
      <c r="B306" s="559"/>
      <c r="C306" s="559"/>
      <c r="D306" s="559"/>
      <c r="E306" s="559"/>
      <c r="F306" s="560"/>
    </row>
    <row r="307" spans="1:6" ht="16.5" thickBot="1" x14ac:dyDescent="0.25">
      <c r="A307" s="376"/>
      <c r="B307" s="377" t="s">
        <v>38</v>
      </c>
      <c r="C307" s="378"/>
      <c r="D307" s="379" t="s">
        <v>39</v>
      </c>
      <c r="E307" s="380"/>
      <c r="F307" s="381"/>
    </row>
    <row r="308" spans="1:6" x14ac:dyDescent="0.2">
      <c r="A308" s="433" t="s">
        <v>152</v>
      </c>
      <c r="B308" s="434">
        <f>Paints!O63</f>
        <v>120</v>
      </c>
      <c r="C308" s="435" t="s">
        <v>57</v>
      </c>
      <c r="D308" s="434">
        <v>0.93300000000000005</v>
      </c>
      <c r="E308" s="436" t="s">
        <v>58</v>
      </c>
      <c r="F308" s="437" t="s">
        <v>212</v>
      </c>
    </row>
    <row r="309" spans="1:6" x14ac:dyDescent="0.2">
      <c r="A309" s="388" t="s">
        <v>62</v>
      </c>
      <c r="B309" s="389"/>
      <c r="C309" s="320">
        <v>0.34999999999999987</v>
      </c>
      <c r="D309" s="390">
        <f t="shared" ref="D309:D316" si="16">B$308*D$308*C309</f>
        <v>39.185999999999986</v>
      </c>
      <c r="E309" s="391" t="s">
        <v>113</v>
      </c>
      <c r="F309" s="387"/>
    </row>
    <row r="310" spans="1:6" x14ac:dyDescent="0.2">
      <c r="A310" s="388" t="s">
        <v>76</v>
      </c>
      <c r="B310" s="389" t="s">
        <v>31</v>
      </c>
      <c r="C310" s="320">
        <v>0.4</v>
      </c>
      <c r="D310" s="671">
        <f t="shared" si="16"/>
        <v>44.784000000000006</v>
      </c>
      <c r="E310" s="391" t="s">
        <v>113</v>
      </c>
      <c r="F310" s="387"/>
    </row>
    <row r="311" spans="1:6" x14ac:dyDescent="0.2">
      <c r="A311" s="388" t="s">
        <v>74</v>
      </c>
      <c r="B311" s="389" t="s">
        <v>29</v>
      </c>
      <c r="C311" s="320">
        <v>0.01</v>
      </c>
      <c r="D311" s="671">
        <f t="shared" si="16"/>
        <v>1.1196000000000002</v>
      </c>
      <c r="E311" s="391" t="s">
        <v>113</v>
      </c>
      <c r="F311" s="387"/>
    </row>
    <row r="312" spans="1:6" x14ac:dyDescent="0.2">
      <c r="A312" s="388" t="s">
        <v>42</v>
      </c>
      <c r="B312" s="389" t="s">
        <v>21</v>
      </c>
      <c r="C312" s="320">
        <v>0.01</v>
      </c>
      <c r="D312" s="671">
        <f t="shared" si="16"/>
        <v>1.1196000000000002</v>
      </c>
      <c r="E312" s="391" t="s">
        <v>113</v>
      </c>
      <c r="F312" s="387"/>
    </row>
    <row r="313" spans="1:6" x14ac:dyDescent="0.2">
      <c r="A313" s="388" t="s">
        <v>54</v>
      </c>
      <c r="B313" s="389" t="s">
        <v>34</v>
      </c>
      <c r="C313" s="320">
        <v>0.2</v>
      </c>
      <c r="D313" s="671">
        <f t="shared" si="16"/>
        <v>22.392000000000003</v>
      </c>
      <c r="E313" s="391" t="s">
        <v>113</v>
      </c>
      <c r="F313" s="387"/>
    </row>
    <row r="314" spans="1:6" x14ac:dyDescent="0.2">
      <c r="A314" s="388" t="s">
        <v>257</v>
      </c>
      <c r="B314" s="389" t="s">
        <v>22</v>
      </c>
      <c r="C314" s="320">
        <v>5.0000000000000001E-3</v>
      </c>
      <c r="D314" s="671">
        <f t="shared" si="16"/>
        <v>0.55980000000000008</v>
      </c>
      <c r="E314" s="391" t="s">
        <v>113</v>
      </c>
      <c r="F314" s="387"/>
    </row>
    <row r="315" spans="1:6" x14ac:dyDescent="0.2">
      <c r="A315" s="388" t="s">
        <v>241</v>
      </c>
      <c r="B315" s="389" t="s">
        <v>25</v>
      </c>
      <c r="C315" s="320">
        <v>5.0000000000000001E-3</v>
      </c>
      <c r="D315" s="671">
        <f t="shared" si="16"/>
        <v>0.55980000000000008</v>
      </c>
      <c r="E315" s="391" t="s">
        <v>113</v>
      </c>
      <c r="F315" s="387"/>
    </row>
    <row r="316" spans="1:6" x14ac:dyDescent="0.2">
      <c r="A316" s="425" t="s">
        <v>254</v>
      </c>
      <c r="B316" s="393" t="s">
        <v>69</v>
      </c>
      <c r="C316" s="586">
        <v>0.02</v>
      </c>
      <c r="D316" s="676">
        <f t="shared" si="16"/>
        <v>2.2392000000000003</v>
      </c>
      <c r="E316" s="508" t="s">
        <v>113</v>
      </c>
      <c r="F316" s="509"/>
    </row>
    <row r="317" spans="1:6" x14ac:dyDescent="0.2">
      <c r="A317" s="510" t="s">
        <v>79</v>
      </c>
      <c r="B317" s="511"/>
      <c r="C317" s="583">
        <f>SUM(C309:C316)</f>
        <v>1</v>
      </c>
      <c r="D317" s="584">
        <f>SUM(D309:D316)</f>
        <v>111.96</v>
      </c>
      <c r="E317" s="585" t="s">
        <v>113</v>
      </c>
      <c r="F317" s="512"/>
    </row>
    <row r="318" spans="1:6" x14ac:dyDescent="0.2">
      <c r="A318" s="319" t="s">
        <v>518</v>
      </c>
      <c r="B318" s="398">
        <f>Paints!P63</f>
        <v>12</v>
      </c>
      <c r="C318" s="403" t="s">
        <v>57</v>
      </c>
      <c r="D318" s="398">
        <v>1.5</v>
      </c>
      <c r="E318" s="404" t="s">
        <v>58</v>
      </c>
      <c r="F318" s="387" t="s">
        <v>212</v>
      </c>
    </row>
    <row r="319" spans="1:6" x14ac:dyDescent="0.2">
      <c r="A319" s="418" t="s">
        <v>62</v>
      </c>
      <c r="B319" s="389"/>
      <c r="C319" s="320">
        <v>0.82</v>
      </c>
      <c r="D319" s="390">
        <f>B$318*D$318*C319</f>
        <v>14.76</v>
      </c>
      <c r="E319" s="391" t="s">
        <v>113</v>
      </c>
      <c r="F319" s="387"/>
    </row>
    <row r="320" spans="1:6" x14ac:dyDescent="0.2">
      <c r="A320" s="418" t="s">
        <v>519</v>
      </c>
      <c r="B320" s="589" t="s">
        <v>94</v>
      </c>
      <c r="C320" s="384">
        <v>0.01</v>
      </c>
      <c r="D320" s="671">
        <f>B$318*D$318*C320</f>
        <v>0.18</v>
      </c>
      <c r="E320" s="391" t="s">
        <v>113</v>
      </c>
      <c r="F320" s="387"/>
    </row>
    <row r="321" spans="1:8" x14ac:dyDescent="0.2">
      <c r="A321" s="418" t="s">
        <v>411</v>
      </c>
      <c r="B321" s="589" t="s">
        <v>510</v>
      </c>
      <c r="C321" s="320">
        <v>0.02</v>
      </c>
      <c r="D321" s="671">
        <f>B$318*D$318*C321</f>
        <v>0.36</v>
      </c>
      <c r="E321" s="391" t="s">
        <v>113</v>
      </c>
      <c r="F321" s="387"/>
    </row>
    <row r="322" spans="1:8" x14ac:dyDescent="0.2">
      <c r="A322" s="425" t="s">
        <v>74</v>
      </c>
      <c r="B322" s="393" t="s">
        <v>29</v>
      </c>
      <c r="C322" s="321">
        <v>0.15</v>
      </c>
      <c r="D322" s="672">
        <f>B$318*D$318*C322</f>
        <v>2.6999999999999997</v>
      </c>
      <c r="E322" s="395" t="s">
        <v>113</v>
      </c>
      <c r="F322" s="396"/>
    </row>
    <row r="323" spans="1:8" ht="13.5" thickBot="1" x14ac:dyDescent="0.25">
      <c r="A323" s="499" t="s">
        <v>79</v>
      </c>
      <c r="B323" s="500"/>
      <c r="C323" s="501">
        <f>SUM(C319:C322)</f>
        <v>1</v>
      </c>
      <c r="D323" s="502">
        <f>SUM(D319:D322)</f>
        <v>18</v>
      </c>
      <c r="E323" s="503" t="s">
        <v>113</v>
      </c>
      <c r="F323" s="504"/>
      <c r="G323" s="136"/>
    </row>
    <row r="324" spans="1:8" ht="13.5" thickBot="1" x14ac:dyDescent="0.25">
      <c r="A324" s="588"/>
      <c r="B324" s="415"/>
      <c r="C324" s="416"/>
      <c r="D324" s="417"/>
      <c r="E324" s="414"/>
      <c r="F324" s="381"/>
    </row>
    <row r="325" spans="1:8" ht="13.5" thickBot="1" x14ac:dyDescent="0.25">
      <c r="A325" s="577" t="s">
        <v>560</v>
      </c>
      <c r="B325" s="415"/>
      <c r="C325" s="416"/>
      <c r="D325" s="417"/>
      <c r="E325" s="414"/>
      <c r="F325" s="381"/>
    </row>
    <row r="326" spans="1:8" x14ac:dyDescent="0.2">
      <c r="A326" s="433" t="s">
        <v>561</v>
      </c>
      <c r="B326" s="434">
        <f>Paints!Q63</f>
        <v>0</v>
      </c>
      <c r="C326" s="403" t="s">
        <v>57</v>
      </c>
      <c r="D326" s="434">
        <v>1.1599999999999999</v>
      </c>
      <c r="E326" s="404" t="s">
        <v>58</v>
      </c>
      <c r="F326" s="387" t="s">
        <v>212</v>
      </c>
    </row>
    <row r="327" spans="1:8" x14ac:dyDescent="0.2">
      <c r="A327" s="418" t="s">
        <v>62</v>
      </c>
      <c r="B327" s="389"/>
      <c r="C327" s="320">
        <f>C331-SUM(C328:C330)</f>
        <v>0.55600000000000005</v>
      </c>
      <c r="D327" s="390">
        <f>D$331*C327</f>
        <v>0</v>
      </c>
      <c r="E327" s="391" t="s">
        <v>113</v>
      </c>
      <c r="F327" s="387"/>
    </row>
    <row r="328" spans="1:8" x14ac:dyDescent="0.2">
      <c r="A328" s="418" t="s">
        <v>243</v>
      </c>
      <c r="B328" s="589" t="s">
        <v>23</v>
      </c>
      <c r="C328" s="384">
        <v>0.377</v>
      </c>
      <c r="D328" s="671">
        <f t="shared" ref="D328:D330" si="17">D$331*C328</f>
        <v>0</v>
      </c>
      <c r="E328" s="391" t="s">
        <v>113</v>
      </c>
      <c r="F328" s="387"/>
    </row>
    <row r="329" spans="1:8" x14ac:dyDescent="0.2">
      <c r="A329" s="418" t="s">
        <v>562</v>
      </c>
      <c r="B329" s="589" t="s">
        <v>175</v>
      </c>
      <c r="C329" s="320">
        <v>0.04</v>
      </c>
      <c r="D329" s="671">
        <f t="shared" si="17"/>
        <v>0</v>
      </c>
      <c r="E329" s="391" t="s">
        <v>113</v>
      </c>
      <c r="F329" s="387"/>
    </row>
    <row r="330" spans="1:8" x14ac:dyDescent="0.2">
      <c r="A330" s="425" t="s">
        <v>563</v>
      </c>
      <c r="B330" s="393" t="s">
        <v>103</v>
      </c>
      <c r="C330" s="321">
        <v>2.7E-2</v>
      </c>
      <c r="D330" s="671">
        <f t="shared" si="17"/>
        <v>0</v>
      </c>
      <c r="E330" s="391" t="s">
        <v>113</v>
      </c>
      <c r="F330" s="396"/>
    </row>
    <row r="331" spans="1:8" ht="13.5" thickBot="1" x14ac:dyDescent="0.25">
      <c r="A331" s="499" t="s">
        <v>79</v>
      </c>
      <c r="B331" s="500"/>
      <c r="C331" s="501">
        <v>1</v>
      </c>
      <c r="D331" s="502">
        <f>B326*D326</f>
        <v>0</v>
      </c>
      <c r="E331" s="503" t="s">
        <v>113</v>
      </c>
      <c r="F331" s="504"/>
    </row>
    <row r="332" spans="1:8" ht="13.5" thickBot="1" x14ac:dyDescent="0.25">
      <c r="A332" s="588"/>
      <c r="B332" s="415"/>
      <c r="C332" s="416"/>
      <c r="D332" s="417"/>
      <c r="E332" s="414"/>
      <c r="F332" s="381"/>
    </row>
    <row r="333" spans="1:8" ht="13.5" thickBot="1" x14ac:dyDescent="0.25">
      <c r="A333" s="667" t="s">
        <v>615</v>
      </c>
      <c r="B333" s="662"/>
      <c r="C333" s="663"/>
      <c r="D333" s="664"/>
      <c r="E333" s="665"/>
      <c r="F333" s="666"/>
    </row>
    <row r="334" spans="1:8" x14ac:dyDescent="0.2">
      <c r="A334" s="433" t="s">
        <v>619</v>
      </c>
      <c r="B334" s="668">
        <f>Paints!R63+Paints!S63</f>
        <v>11.86</v>
      </c>
      <c r="C334" s="435" t="s">
        <v>57</v>
      </c>
      <c r="D334" s="434">
        <v>0.94</v>
      </c>
      <c r="E334" s="436" t="s">
        <v>58</v>
      </c>
      <c r="F334" s="437" t="s">
        <v>212</v>
      </c>
      <c r="H334" s="136"/>
    </row>
    <row r="335" spans="1:8" x14ac:dyDescent="0.2">
      <c r="A335" s="388" t="s">
        <v>62</v>
      </c>
      <c r="B335" s="389"/>
      <c r="C335" s="320">
        <f>C341-SUM(C336:C340)</f>
        <v>0.42000000000000004</v>
      </c>
      <c r="D335" s="390">
        <f>C335*D$341</f>
        <v>4.682328</v>
      </c>
      <c r="E335" s="391" t="s">
        <v>113</v>
      </c>
      <c r="F335" s="387"/>
    </row>
    <row r="336" spans="1:8" x14ac:dyDescent="0.2">
      <c r="A336" s="388" t="s">
        <v>74</v>
      </c>
      <c r="B336" s="389" t="s">
        <v>29</v>
      </c>
      <c r="C336" s="320">
        <v>0.3</v>
      </c>
      <c r="D336" s="671">
        <f t="shared" ref="D336:D340" si="18">C336*D$341</f>
        <v>3.3445199999999997</v>
      </c>
      <c r="E336" s="391" t="s">
        <v>113</v>
      </c>
      <c r="F336" s="387"/>
    </row>
    <row r="337" spans="1:6" x14ac:dyDescent="0.2">
      <c r="A337" s="418" t="s">
        <v>620</v>
      </c>
      <c r="B337" s="669" t="s">
        <v>34</v>
      </c>
      <c r="C337" s="384">
        <v>0.11</v>
      </c>
      <c r="D337" s="671">
        <f t="shared" si="18"/>
        <v>1.226324</v>
      </c>
      <c r="E337" s="391" t="s">
        <v>113</v>
      </c>
      <c r="F337" s="387"/>
    </row>
    <row r="338" spans="1:6" x14ac:dyDescent="0.2">
      <c r="A338" s="418" t="s">
        <v>229</v>
      </c>
      <c r="B338" s="669" t="s">
        <v>94</v>
      </c>
      <c r="C338" s="320">
        <v>0.04</v>
      </c>
      <c r="D338" s="671">
        <f t="shared" si="18"/>
        <v>0.44593599999999994</v>
      </c>
      <c r="E338" s="391" t="s">
        <v>113</v>
      </c>
      <c r="F338" s="387"/>
    </row>
    <row r="339" spans="1:6" x14ac:dyDescent="0.2">
      <c r="A339" s="418" t="s">
        <v>218</v>
      </c>
      <c r="B339" s="669" t="s">
        <v>189</v>
      </c>
      <c r="C339" s="320">
        <v>0.04</v>
      </c>
      <c r="D339" s="671">
        <f t="shared" si="18"/>
        <v>0.44593599999999994</v>
      </c>
      <c r="E339" s="391" t="s">
        <v>113</v>
      </c>
      <c r="F339" s="387"/>
    </row>
    <row r="340" spans="1:6" x14ac:dyDescent="0.2">
      <c r="A340" s="425" t="s">
        <v>76</v>
      </c>
      <c r="B340" s="393" t="s">
        <v>31</v>
      </c>
      <c r="C340" s="321">
        <v>0.09</v>
      </c>
      <c r="D340" s="672">
        <f t="shared" si="18"/>
        <v>1.0033559999999999</v>
      </c>
      <c r="E340" s="391" t="s">
        <v>113</v>
      </c>
      <c r="F340" s="396"/>
    </row>
    <row r="341" spans="1:6" ht="13.5" thickBot="1" x14ac:dyDescent="0.25">
      <c r="A341" s="408"/>
      <c r="B341" s="409"/>
      <c r="C341" s="410">
        <v>1</v>
      </c>
      <c r="D341" s="411">
        <f>B334*D334</f>
        <v>11.148399999999999</v>
      </c>
      <c r="E341" s="503" t="s">
        <v>113</v>
      </c>
      <c r="F341" s="413"/>
    </row>
    <row r="342" spans="1:6" x14ac:dyDescent="0.2">
      <c r="A342" s="372"/>
      <c r="B342" s="87"/>
      <c r="C342" s="373"/>
      <c r="D342" s="374"/>
      <c r="E342" s="372"/>
      <c r="F342" s="375"/>
    </row>
    <row r="343" spans="1:6" x14ac:dyDescent="0.2">
      <c r="A343" s="372"/>
      <c r="B343" s="87"/>
      <c r="C343" s="373"/>
      <c r="D343" s="374"/>
      <c r="E343" s="372"/>
      <c r="F343" s="375"/>
    </row>
    <row r="344" spans="1:6" x14ac:dyDescent="0.2">
      <c r="A344" s="372"/>
      <c r="B344" s="87"/>
      <c r="C344" s="373"/>
      <c r="D344" s="374"/>
      <c r="E344" s="372"/>
      <c r="F344" s="375"/>
    </row>
    <row r="345" spans="1:6" x14ac:dyDescent="0.2">
      <c r="A345" s="372"/>
      <c r="B345" s="87"/>
      <c r="C345" s="373"/>
      <c r="D345" s="374"/>
      <c r="E345" s="372"/>
      <c r="F345" s="375"/>
    </row>
    <row r="346" spans="1:6" x14ac:dyDescent="0.2">
      <c r="A346" s="372"/>
      <c r="B346" s="87"/>
      <c r="C346" s="373"/>
      <c r="D346" s="374"/>
      <c r="E346" s="372"/>
      <c r="F346" s="375"/>
    </row>
    <row r="347" spans="1:6" x14ac:dyDescent="0.2">
      <c r="A347" s="372"/>
      <c r="B347" s="87"/>
      <c r="C347" s="373"/>
      <c r="D347" s="374"/>
      <c r="E347" s="372"/>
      <c r="F347" s="375"/>
    </row>
    <row r="348" spans="1:6" x14ac:dyDescent="0.2">
      <c r="A348" s="372"/>
      <c r="B348" s="87"/>
      <c r="C348" s="373"/>
      <c r="D348" s="374"/>
      <c r="E348" s="372"/>
      <c r="F348" s="375"/>
    </row>
    <row r="349" spans="1:6" x14ac:dyDescent="0.2">
      <c r="A349" s="372"/>
      <c r="B349" s="87"/>
      <c r="C349" s="373"/>
      <c r="D349" s="374"/>
      <c r="E349" s="372"/>
      <c r="F349" s="375"/>
    </row>
    <row r="350" spans="1:6" x14ac:dyDescent="0.2">
      <c r="A350" s="372"/>
      <c r="B350" s="87"/>
      <c r="C350" s="373"/>
      <c r="D350" s="374"/>
      <c r="E350" s="372"/>
      <c r="F350" s="375"/>
    </row>
    <row r="351" spans="1:6" x14ac:dyDescent="0.2">
      <c r="A351" s="372"/>
      <c r="B351" s="87"/>
      <c r="C351" s="373"/>
      <c r="D351" s="374"/>
      <c r="E351" s="372"/>
      <c r="F351" s="375"/>
    </row>
    <row r="352" spans="1:6" x14ac:dyDescent="0.2">
      <c r="A352" s="372"/>
      <c r="B352" s="87"/>
      <c r="C352" s="373"/>
      <c r="D352" s="374"/>
      <c r="E352" s="372"/>
      <c r="F352" s="375"/>
    </row>
    <row r="353" spans="1:6" x14ac:dyDescent="0.2">
      <c r="A353" s="372"/>
      <c r="B353" s="87"/>
      <c r="C353" s="373"/>
      <c r="D353" s="374"/>
      <c r="E353" s="372"/>
      <c r="F353" s="375"/>
    </row>
    <row r="354" spans="1:6" x14ac:dyDescent="0.2">
      <c r="A354" s="372"/>
      <c r="B354" s="87"/>
      <c r="C354" s="373"/>
      <c r="D354" s="374"/>
      <c r="E354" s="372"/>
      <c r="F354" s="375"/>
    </row>
    <row r="355" spans="1:6" x14ac:dyDescent="0.2">
      <c r="A355" s="372"/>
      <c r="B355" s="87"/>
      <c r="C355" s="373"/>
      <c r="D355" s="374"/>
      <c r="E355" s="372"/>
      <c r="F355" s="375"/>
    </row>
    <row r="356" spans="1:6" x14ac:dyDescent="0.2">
      <c r="A356" s="372"/>
      <c r="B356" s="87"/>
      <c r="C356" s="373"/>
      <c r="D356" s="374"/>
      <c r="E356" s="372"/>
      <c r="F356" s="375"/>
    </row>
    <row r="357" spans="1:6" x14ac:dyDescent="0.2">
      <c r="A357" s="372"/>
      <c r="B357" s="87"/>
      <c r="C357" s="373"/>
      <c r="D357" s="374"/>
      <c r="E357" s="372"/>
      <c r="F357" s="375"/>
    </row>
    <row r="358" spans="1:6" x14ac:dyDescent="0.2">
      <c r="A358" s="372"/>
      <c r="B358" s="87"/>
      <c r="C358" s="373"/>
      <c r="D358" s="374"/>
      <c r="E358" s="372"/>
      <c r="F358" s="375"/>
    </row>
    <row r="359" spans="1:6" x14ac:dyDescent="0.2">
      <c r="A359" s="372"/>
      <c r="B359" s="87"/>
      <c r="C359" s="373"/>
      <c r="D359" s="374"/>
      <c r="E359" s="372"/>
      <c r="F359" s="375"/>
    </row>
    <row r="360" spans="1:6" x14ac:dyDescent="0.2">
      <c r="A360" s="372"/>
      <c r="B360" s="87"/>
      <c r="C360" s="373"/>
      <c r="D360" s="374"/>
      <c r="E360" s="372"/>
      <c r="F360" s="375"/>
    </row>
    <row r="361" spans="1:6" x14ac:dyDescent="0.2">
      <c r="A361" s="372"/>
      <c r="B361" s="87"/>
      <c r="C361" s="373"/>
      <c r="D361" s="374"/>
      <c r="E361" s="372"/>
      <c r="F361" s="375"/>
    </row>
    <row r="362" spans="1:6" x14ac:dyDescent="0.2">
      <c r="A362" s="372"/>
      <c r="B362" s="87"/>
      <c r="C362" s="373"/>
      <c r="D362" s="374"/>
      <c r="E362" s="372"/>
      <c r="F362" s="375"/>
    </row>
    <row r="363" spans="1:6" x14ac:dyDescent="0.2">
      <c r="A363" s="372"/>
      <c r="B363" s="87"/>
      <c r="C363" s="373"/>
      <c r="D363" s="374"/>
      <c r="E363" s="372"/>
      <c r="F363" s="375"/>
    </row>
    <row r="364" spans="1:6" x14ac:dyDescent="0.2">
      <c r="A364" s="372"/>
      <c r="B364" s="87"/>
      <c r="C364" s="373"/>
      <c r="D364" s="374"/>
      <c r="E364" s="372"/>
      <c r="F364" s="375"/>
    </row>
    <row r="365" spans="1:6" x14ac:dyDescent="0.2">
      <c r="A365" s="372"/>
      <c r="B365" s="87"/>
      <c r="C365" s="373"/>
      <c r="D365" s="374"/>
      <c r="E365" s="372"/>
      <c r="F365" s="375"/>
    </row>
    <row r="366" spans="1:6" x14ac:dyDescent="0.2">
      <c r="A366" s="372"/>
      <c r="B366" s="87"/>
      <c r="C366" s="373"/>
      <c r="D366" s="374"/>
      <c r="E366" s="372"/>
      <c r="F366" s="375"/>
    </row>
    <row r="367" spans="1:6" x14ac:dyDescent="0.2">
      <c r="A367" s="372"/>
      <c r="B367" s="87"/>
      <c r="C367" s="373"/>
      <c r="D367" s="374"/>
      <c r="E367" s="372"/>
      <c r="F367" s="375"/>
    </row>
    <row r="368" spans="1:6" x14ac:dyDescent="0.2">
      <c r="A368" s="372"/>
      <c r="B368" s="87"/>
      <c r="C368" s="373"/>
      <c r="D368" s="374"/>
      <c r="E368" s="372"/>
      <c r="F368" s="375"/>
    </row>
    <row r="369" spans="1:6" x14ac:dyDescent="0.2">
      <c r="A369" s="372"/>
      <c r="B369" s="87"/>
      <c r="C369" s="373"/>
      <c r="D369" s="374"/>
      <c r="E369" s="372"/>
      <c r="F369" s="375"/>
    </row>
    <row r="370" spans="1:6" x14ac:dyDescent="0.2">
      <c r="A370" s="372"/>
      <c r="B370" s="87"/>
      <c r="C370" s="373"/>
      <c r="D370" s="374"/>
      <c r="E370" s="372"/>
      <c r="F370" s="375"/>
    </row>
    <row r="371" spans="1:6" x14ac:dyDescent="0.2">
      <c r="A371" s="372"/>
      <c r="B371" s="87"/>
      <c r="C371" s="373"/>
      <c r="D371" s="374"/>
      <c r="E371" s="372"/>
      <c r="F371" s="375"/>
    </row>
    <row r="372" spans="1:6" x14ac:dyDescent="0.2">
      <c r="A372" s="372"/>
      <c r="B372" s="87"/>
      <c r="C372" s="373"/>
      <c r="D372" s="374"/>
      <c r="E372" s="372"/>
      <c r="F372" s="375"/>
    </row>
    <row r="373" spans="1:6" x14ac:dyDescent="0.2">
      <c r="A373" s="372"/>
      <c r="B373" s="87"/>
      <c r="C373" s="373"/>
      <c r="D373" s="374"/>
      <c r="E373" s="372"/>
      <c r="F373" s="375"/>
    </row>
    <row r="374" spans="1:6" x14ac:dyDescent="0.2">
      <c r="A374" s="372"/>
      <c r="B374" s="87"/>
      <c r="C374" s="373"/>
      <c r="D374" s="374"/>
      <c r="E374" s="372"/>
      <c r="F374" s="375"/>
    </row>
    <row r="375" spans="1:6" x14ac:dyDescent="0.2">
      <c r="A375" s="372"/>
      <c r="B375" s="87"/>
      <c r="C375" s="373"/>
      <c r="D375" s="374"/>
      <c r="E375" s="372"/>
      <c r="F375" s="375"/>
    </row>
    <row r="376" spans="1:6" x14ac:dyDescent="0.2">
      <c r="A376" s="372"/>
      <c r="B376" s="87"/>
      <c r="C376" s="373"/>
      <c r="D376" s="374"/>
      <c r="E376" s="372"/>
      <c r="F376" s="375"/>
    </row>
    <row r="377" spans="1:6" x14ac:dyDescent="0.2">
      <c r="A377" s="372"/>
      <c r="B377" s="87"/>
      <c r="C377" s="373"/>
      <c r="D377" s="374"/>
      <c r="E377" s="372"/>
      <c r="F377" s="375"/>
    </row>
    <row r="378" spans="1:6" x14ac:dyDescent="0.2">
      <c r="A378" s="372"/>
      <c r="B378" s="87"/>
      <c r="C378" s="373"/>
      <c r="D378" s="374"/>
      <c r="E378" s="372"/>
      <c r="F378" s="375"/>
    </row>
    <row r="379" spans="1:6" x14ac:dyDescent="0.2">
      <c r="A379" s="372"/>
      <c r="B379" s="87"/>
      <c r="C379" s="373"/>
      <c r="D379" s="374"/>
      <c r="E379" s="372"/>
      <c r="F379" s="375"/>
    </row>
    <row r="380" spans="1:6" x14ac:dyDescent="0.2">
      <c r="A380" s="372"/>
      <c r="B380" s="87"/>
      <c r="C380" s="373"/>
      <c r="D380" s="374"/>
      <c r="E380" s="372"/>
      <c r="F380" s="375"/>
    </row>
    <row r="381" spans="1:6" x14ac:dyDescent="0.2">
      <c r="A381" s="372"/>
      <c r="B381" s="87"/>
      <c r="C381" s="373"/>
      <c r="D381" s="374"/>
      <c r="E381" s="372"/>
      <c r="F381" s="375"/>
    </row>
    <row r="382" spans="1:6" x14ac:dyDescent="0.2">
      <c r="A382" s="372"/>
      <c r="B382" s="87"/>
      <c r="C382" s="373"/>
      <c r="D382" s="374"/>
      <c r="E382" s="372"/>
      <c r="F382" s="375"/>
    </row>
    <row r="383" spans="1:6" x14ac:dyDescent="0.2">
      <c r="A383" s="372"/>
      <c r="B383" s="87"/>
      <c r="C383" s="373"/>
      <c r="D383" s="374"/>
      <c r="E383" s="372"/>
      <c r="F383" s="375"/>
    </row>
    <row r="384" spans="1:6" x14ac:dyDescent="0.2">
      <c r="A384" s="372"/>
      <c r="B384" s="87"/>
      <c r="C384" s="373"/>
      <c r="D384" s="374"/>
      <c r="E384" s="372"/>
      <c r="F384" s="375"/>
    </row>
    <row r="385" spans="1:6" x14ac:dyDescent="0.2">
      <c r="A385" s="372"/>
      <c r="B385" s="87"/>
      <c r="C385" s="373"/>
      <c r="D385" s="374"/>
      <c r="E385" s="372"/>
      <c r="F385" s="375"/>
    </row>
    <row r="386" spans="1:6" x14ac:dyDescent="0.2">
      <c r="A386" s="372"/>
      <c r="B386" s="87"/>
      <c r="C386" s="373"/>
      <c r="D386" s="374"/>
      <c r="E386" s="372"/>
      <c r="F386" s="375"/>
    </row>
    <row r="387" spans="1:6" x14ac:dyDescent="0.2">
      <c r="A387" s="372"/>
      <c r="B387" s="87"/>
      <c r="C387" s="373"/>
      <c r="D387" s="374"/>
      <c r="E387" s="372"/>
      <c r="F387" s="375"/>
    </row>
  </sheetData>
  <mergeCells count="4">
    <mergeCell ref="A53:F53"/>
    <mergeCell ref="A5:F5"/>
    <mergeCell ref="A1:F1"/>
    <mergeCell ref="A2:F2"/>
  </mergeCells>
  <pageMargins left="0.7" right="0.7" top="0.75" bottom="0.75" header="0.3" footer="0.3"/>
  <pageSetup scale="74" orientation="portrait" r:id="rId1"/>
  <rowBreaks count="3" manualBreakCount="3">
    <brk id="180" max="5" man="1"/>
    <brk id="244" max="5" man="1"/>
    <brk id="31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topLeftCell="H67" zoomScaleNormal="100" workbookViewId="0">
      <selection activeCell="O67" sqref="O67"/>
    </sheetView>
  </sheetViews>
  <sheetFormatPr defaultColWidth="38" defaultRowHeight="12.75" x14ac:dyDescent="0.2"/>
  <cols>
    <col min="1" max="1" width="37.85546875" style="129" bestFit="1" customWidth="1"/>
    <col min="2" max="3" width="10.28515625" style="129" customWidth="1"/>
    <col min="4" max="4" width="11.140625" style="129" bestFit="1" customWidth="1"/>
    <col min="5" max="5" width="11.5703125" style="129" customWidth="1"/>
    <col min="6" max="6" width="12.140625" style="129" bestFit="1" customWidth="1"/>
    <col min="7" max="7" width="12.28515625" style="129" bestFit="1" customWidth="1"/>
    <col min="8" max="8" width="9" style="129" bestFit="1" customWidth="1"/>
    <col min="9" max="9" width="12" style="129" customWidth="1"/>
    <col min="10" max="10" width="13" style="129" bestFit="1" customWidth="1"/>
    <col min="11" max="11" width="10.28515625" style="129" bestFit="1" customWidth="1"/>
    <col min="12" max="12" width="14.28515625" style="129" bestFit="1" customWidth="1"/>
    <col min="13" max="13" width="12.140625" style="129" customWidth="1"/>
    <col min="14" max="14" width="10.7109375" style="129" customWidth="1"/>
    <col min="15" max="15" width="10.28515625" style="129" customWidth="1"/>
    <col min="16" max="16" width="9.7109375" style="129" customWidth="1"/>
    <col min="17" max="16384" width="38" style="129"/>
  </cols>
  <sheetData>
    <row r="1" spans="1:16" x14ac:dyDescent="0.2">
      <c r="A1" s="131" t="s">
        <v>567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N1" s="716" t="s">
        <v>597</v>
      </c>
      <c r="O1" s="717"/>
      <c r="P1" s="717"/>
    </row>
    <row r="2" spans="1:16" s="130" customFormat="1" ht="13.5" thickBot="1" x14ac:dyDescent="0.25">
      <c r="F2" s="375"/>
      <c r="N2" s="375"/>
      <c r="O2" s="375"/>
      <c r="P2" s="375"/>
    </row>
    <row r="3" spans="1:16" s="130" customFormat="1" ht="13.5" thickBot="1" x14ac:dyDescent="0.25">
      <c r="A3" s="140"/>
      <c r="B3" s="631" t="s">
        <v>605</v>
      </c>
      <c r="C3" s="628" t="s">
        <v>607</v>
      </c>
      <c r="D3" s="625"/>
      <c r="E3" s="141" t="s">
        <v>1</v>
      </c>
      <c r="F3" s="444" t="s">
        <v>2</v>
      </c>
      <c r="G3" s="141"/>
      <c r="H3" s="142" t="s">
        <v>3</v>
      </c>
      <c r="I3" s="141" t="s">
        <v>4</v>
      </c>
      <c r="J3" s="142" t="s">
        <v>5</v>
      </c>
      <c r="K3" s="141" t="s">
        <v>6</v>
      </c>
      <c r="L3" s="712" t="s">
        <v>7</v>
      </c>
      <c r="M3" s="713"/>
      <c r="N3" s="714" t="s">
        <v>566</v>
      </c>
      <c r="O3" s="715"/>
      <c r="P3" s="590"/>
    </row>
    <row r="4" spans="1:16" s="137" customFormat="1" ht="13.5" thickBot="1" x14ac:dyDescent="0.25">
      <c r="A4" s="138" t="s">
        <v>8</v>
      </c>
      <c r="B4" s="632" t="s">
        <v>606</v>
      </c>
      <c r="C4" s="629" t="s">
        <v>608</v>
      </c>
      <c r="D4" s="626" t="s">
        <v>9</v>
      </c>
      <c r="E4" s="139" t="s">
        <v>10</v>
      </c>
      <c r="F4" s="60" t="s">
        <v>11</v>
      </c>
      <c r="G4" s="139" t="s">
        <v>12</v>
      </c>
      <c r="H4" s="143" t="s">
        <v>13</v>
      </c>
      <c r="I4" s="139" t="s">
        <v>14</v>
      </c>
      <c r="J4" s="143" t="s">
        <v>15</v>
      </c>
      <c r="K4" s="139" t="s">
        <v>16</v>
      </c>
      <c r="L4" s="143" t="s">
        <v>17</v>
      </c>
      <c r="M4" s="139" t="s">
        <v>18</v>
      </c>
      <c r="N4" s="60" t="s">
        <v>18</v>
      </c>
      <c r="O4" s="599" t="s">
        <v>531</v>
      </c>
      <c r="P4" s="599" t="s">
        <v>426</v>
      </c>
    </row>
    <row r="5" spans="1:16" x14ac:dyDescent="0.2">
      <c r="A5" s="10"/>
      <c r="B5" s="11"/>
      <c r="C5" s="79"/>
      <c r="D5" s="148"/>
      <c r="E5" s="352"/>
      <c r="F5" s="148"/>
      <c r="G5" s="10"/>
      <c r="H5" s="148"/>
      <c r="I5" s="10"/>
      <c r="J5" s="148"/>
      <c r="K5" s="365"/>
      <c r="L5" s="148"/>
      <c r="M5" s="10"/>
      <c r="N5" s="448"/>
      <c r="O5" s="10"/>
      <c r="P5" s="10"/>
    </row>
    <row r="6" spans="1:16" x14ac:dyDescent="0.2">
      <c r="A6" s="8" t="s">
        <v>19</v>
      </c>
      <c r="B6" s="633"/>
      <c r="C6" s="630"/>
      <c r="D6" s="2"/>
      <c r="E6" s="353"/>
      <c r="F6" s="2"/>
      <c r="G6" s="3"/>
      <c r="H6" s="2"/>
      <c r="I6" s="3"/>
      <c r="J6" s="2"/>
      <c r="K6" s="358"/>
      <c r="L6" s="2"/>
      <c r="M6" s="3"/>
      <c r="N6" s="368"/>
      <c r="O6" s="3"/>
      <c r="P6" s="357"/>
    </row>
    <row r="7" spans="1:16" x14ac:dyDescent="0.2">
      <c r="A7" s="3" t="s">
        <v>40</v>
      </c>
      <c r="B7" s="634">
        <v>5</v>
      </c>
      <c r="C7" s="635" t="s">
        <v>609</v>
      </c>
      <c r="D7" s="2" t="s">
        <v>26</v>
      </c>
      <c r="E7" s="354">
        <f>F7/H7</f>
        <v>0</v>
      </c>
      <c r="F7" s="650">
        <f>Comet!I22</f>
        <v>0</v>
      </c>
      <c r="G7" s="20">
        <f>F7/1000</f>
        <v>0</v>
      </c>
      <c r="H7" s="346">
        <v>0.68400000000000005</v>
      </c>
      <c r="I7" s="361">
        <v>0</v>
      </c>
      <c r="J7" s="347">
        <v>0</v>
      </c>
      <c r="K7" s="358">
        <v>0</v>
      </c>
      <c r="L7" s="21">
        <f t="shared" ref="L7:M13" si="0">E7/E$78</f>
        <v>0</v>
      </c>
      <c r="M7" s="366">
        <f t="shared" si="0"/>
        <v>0</v>
      </c>
      <c r="N7" s="449">
        <f>F7-142</f>
        <v>-142</v>
      </c>
      <c r="O7" s="470">
        <f>N7/1000</f>
        <v>-0.14199999999999999</v>
      </c>
      <c r="P7" s="361">
        <f>N7/142</f>
        <v>-1</v>
      </c>
    </row>
    <row r="8" spans="1:16" x14ac:dyDescent="0.2">
      <c r="A8" s="3" t="s">
        <v>60</v>
      </c>
      <c r="B8" s="634">
        <v>5</v>
      </c>
      <c r="C8" s="635" t="s">
        <v>609</v>
      </c>
      <c r="D8" s="2" t="s">
        <v>30</v>
      </c>
      <c r="E8" s="354">
        <f t="shared" ref="E8:E12" si="1">F8/H8</f>
        <v>744.38242227979254</v>
      </c>
      <c r="F8" s="649">
        <f>Comet!M22+'Solvent Breakdown'!D42+'Solvent Breakdown'!D80++'Solvent Breakdown'!D92+'Solvent Breakdown'!D100+'Solvent Breakdown'!D110</f>
        <v>574.66322999999988</v>
      </c>
      <c r="G8" s="20">
        <f t="shared" ref="G8:G12" si="2">F8/1000</f>
        <v>0.57466322999999986</v>
      </c>
      <c r="H8" s="346">
        <v>0.77200000000000002</v>
      </c>
      <c r="I8" s="361">
        <f>Comet!M22/F8</f>
        <v>0</v>
      </c>
      <c r="J8" s="347">
        <f>1-I8</f>
        <v>1</v>
      </c>
      <c r="K8" s="358">
        <v>0</v>
      </c>
      <c r="L8" s="21">
        <f t="shared" si="0"/>
        <v>2.2233325465400213E-2</v>
      </c>
      <c r="M8" s="366">
        <f t="shared" si="0"/>
        <v>2.0984704328684101E-2</v>
      </c>
      <c r="N8" s="449">
        <f>F8-1300</f>
        <v>-725.33677000000012</v>
      </c>
      <c r="O8" s="470">
        <f t="shared" ref="O8:O12" si="3">N8/1000</f>
        <v>-0.72533677000000008</v>
      </c>
      <c r="P8" s="361">
        <f>N8/1300</f>
        <v>-0.55795136153846159</v>
      </c>
    </row>
    <row r="9" spans="1:16" x14ac:dyDescent="0.2">
      <c r="A9" s="3" t="s">
        <v>526</v>
      </c>
      <c r="B9" s="634">
        <v>5</v>
      </c>
      <c r="C9" s="635" t="s">
        <v>609</v>
      </c>
      <c r="D9" s="2" t="s">
        <v>65</v>
      </c>
      <c r="E9" s="354">
        <f t="shared" si="1"/>
        <v>789.95463157894733</v>
      </c>
      <c r="F9" s="649">
        <f>'Solvent Breakdown'!D31+'Solvent Breakdown'!D145</f>
        <v>600.36551999999995</v>
      </c>
      <c r="G9" s="20">
        <f t="shared" si="2"/>
        <v>0.60036551999999999</v>
      </c>
      <c r="H9" s="346">
        <v>0.76</v>
      </c>
      <c r="I9" s="361">
        <v>0</v>
      </c>
      <c r="J9" s="282">
        <v>1</v>
      </c>
      <c r="K9" s="358">
        <v>0</v>
      </c>
      <c r="L9" s="21">
        <f t="shared" si="0"/>
        <v>2.3594483025276881E-2</v>
      </c>
      <c r="M9" s="366">
        <f t="shared" si="0"/>
        <v>2.1923262649563784E-2</v>
      </c>
      <c r="N9" s="449">
        <f>F9-310</f>
        <v>290.36551999999995</v>
      </c>
      <c r="O9" s="470">
        <f t="shared" si="3"/>
        <v>0.29036551999999993</v>
      </c>
      <c r="P9" s="361">
        <f>N9/310</f>
        <v>0.93666296774193536</v>
      </c>
    </row>
    <row r="10" spans="1:16" x14ac:dyDescent="0.2">
      <c r="A10" s="3" t="s">
        <v>527</v>
      </c>
      <c r="B10" s="634">
        <v>5</v>
      </c>
      <c r="C10" s="635" t="s">
        <v>609</v>
      </c>
      <c r="D10" s="2" t="s">
        <v>69</v>
      </c>
      <c r="E10" s="354">
        <f t="shared" si="1"/>
        <v>428.76526315789476</v>
      </c>
      <c r="F10" s="649">
        <f>Comet!N22+'Solvent Breakdown'!D48+'Solvent Breakdown'!D295+'Solvent Breakdown'!D301+'Solvent Breakdown'!D316</f>
        <v>325.86160000000001</v>
      </c>
      <c r="G10" s="20">
        <f t="shared" si="2"/>
        <v>0.32586160000000003</v>
      </c>
      <c r="H10" s="346">
        <v>0.76</v>
      </c>
      <c r="I10" s="361">
        <f>Comet!N22/F10</f>
        <v>0.95746169539460924</v>
      </c>
      <c r="J10" s="347">
        <f>1-I10</f>
        <v>4.2538304605390764E-2</v>
      </c>
      <c r="K10" s="358">
        <v>0</v>
      </c>
      <c r="L10" s="21">
        <f t="shared" si="0"/>
        <v>1.2806424975554169E-2</v>
      </c>
      <c r="M10" s="366">
        <f t="shared" si="0"/>
        <v>1.1899333333145273E-2</v>
      </c>
      <c r="N10" s="449">
        <f>F10-474</f>
        <v>-148.13839999999999</v>
      </c>
      <c r="O10" s="470">
        <f t="shared" si="3"/>
        <v>-0.1481384</v>
      </c>
      <c r="P10" s="361">
        <f>N10/474</f>
        <v>-0.31252827004219408</v>
      </c>
    </row>
    <row r="11" spans="1:16" x14ac:dyDescent="0.2">
      <c r="A11" s="3" t="s">
        <v>528</v>
      </c>
      <c r="B11" s="634">
        <v>5</v>
      </c>
      <c r="C11" s="635" t="s">
        <v>609</v>
      </c>
      <c r="D11" s="2" t="s">
        <v>33</v>
      </c>
      <c r="E11" s="354">
        <f t="shared" si="1"/>
        <v>800.48735999999997</v>
      </c>
      <c r="F11" s="649">
        <f>'Solvent Breakdown'!D146+'Solvent Breakdown'!D156</f>
        <v>600.36551999999995</v>
      </c>
      <c r="G11" s="20">
        <f t="shared" si="2"/>
        <v>0.60036551999999999</v>
      </c>
      <c r="H11" s="346">
        <v>0.75</v>
      </c>
      <c r="I11" s="361">
        <f>Comet!P22/F11</f>
        <v>1.6673176034493122</v>
      </c>
      <c r="J11" s="347">
        <f>1-I11</f>
        <v>-0.66731760344931224</v>
      </c>
      <c r="K11" s="358">
        <v>0</v>
      </c>
      <c r="L11" s="21">
        <f t="shared" si="0"/>
        <v>2.3909076132280573E-2</v>
      </c>
      <c r="M11" s="366">
        <f t="shared" si="0"/>
        <v>2.1923262649563784E-2</v>
      </c>
      <c r="N11" s="449">
        <f>F11-1287</f>
        <v>-686.63448000000005</v>
      </c>
      <c r="O11" s="470">
        <f t="shared" si="3"/>
        <v>-0.68663448000000005</v>
      </c>
      <c r="P11" s="361">
        <f>N11/1287</f>
        <v>-0.53351552447552453</v>
      </c>
    </row>
    <row r="12" spans="1:16" x14ac:dyDescent="0.2">
      <c r="A12" s="3" t="s">
        <v>528</v>
      </c>
      <c r="B12" s="634">
        <v>5</v>
      </c>
      <c r="C12" s="635" t="s">
        <v>609</v>
      </c>
      <c r="D12" s="2" t="s">
        <v>32</v>
      </c>
      <c r="E12" s="354">
        <f t="shared" si="1"/>
        <v>4513.5849503355703</v>
      </c>
      <c r="F12" s="649">
        <f>Comet!T22+'Solvent Breakdown'!D82+'Solvent Breakdown'!D93+'Solvent Breakdown'!D101+'Solvent Breakdown'!D112</f>
        <v>3362.6207880000002</v>
      </c>
      <c r="G12" s="20">
        <f t="shared" si="2"/>
        <v>3.3626207880000001</v>
      </c>
      <c r="H12" s="346">
        <v>0.745</v>
      </c>
      <c r="I12" s="361">
        <f>Comet!T22/F12</f>
        <v>0.82970997204219976</v>
      </c>
      <c r="J12" s="347">
        <f>1-I12</f>
        <v>0.17029002795780024</v>
      </c>
      <c r="K12" s="358">
        <v>0</v>
      </c>
      <c r="L12" s="446">
        <f t="shared" si="0"/>
        <v>0.1348124300264891</v>
      </c>
      <c r="M12" s="446">
        <f t="shared" si="0"/>
        <v>0.12279122679498175</v>
      </c>
      <c r="N12" s="449">
        <f>F12-4624</f>
        <v>-1261.3792119999998</v>
      </c>
      <c r="O12" s="470">
        <f t="shared" si="3"/>
        <v>-1.2613792119999998</v>
      </c>
      <c r="P12" s="361">
        <f>N12/4624</f>
        <v>-0.27278962197231832</v>
      </c>
    </row>
    <row r="13" spans="1:16" x14ac:dyDescent="0.2">
      <c r="A13" s="5" t="s">
        <v>83</v>
      </c>
      <c r="B13" s="636"/>
      <c r="C13" s="637"/>
      <c r="D13" s="348"/>
      <c r="E13" s="356">
        <f>SUM(E8:E12)</f>
        <v>7277.1746273522049</v>
      </c>
      <c r="F13" s="359">
        <f>SUM(F8:F12)</f>
        <v>5463.8766580000001</v>
      </c>
      <c r="G13" s="22">
        <v>8.3940012981662999</v>
      </c>
      <c r="H13" s="53"/>
      <c r="I13" s="362"/>
      <c r="J13" s="53"/>
      <c r="K13" s="362"/>
      <c r="L13" s="367">
        <f t="shared" si="0"/>
        <v>0.21735573962500093</v>
      </c>
      <c r="M13" s="367">
        <f t="shared" si="0"/>
        <v>0.19952178975593871</v>
      </c>
      <c r="N13" s="450">
        <f>SUM(N7:N12)</f>
        <v>-2673.1233419999999</v>
      </c>
      <c r="O13" s="471">
        <f>SUM(O7:O12)</f>
        <v>-2.6731233420000002</v>
      </c>
      <c r="P13" s="369"/>
    </row>
    <row r="14" spans="1:16" x14ac:dyDescent="0.2">
      <c r="A14" s="8" t="s">
        <v>85</v>
      </c>
      <c r="B14" s="638"/>
      <c r="C14" s="639"/>
      <c r="D14" s="2"/>
      <c r="E14" s="355"/>
      <c r="F14" s="345"/>
      <c r="G14" s="20"/>
      <c r="H14" s="346"/>
      <c r="I14" s="357"/>
      <c r="J14" s="81"/>
      <c r="K14" s="358"/>
      <c r="L14" s="81"/>
      <c r="M14" s="357"/>
      <c r="N14" s="451"/>
      <c r="O14" s="472"/>
      <c r="P14" s="361"/>
    </row>
    <row r="15" spans="1:16" x14ac:dyDescent="0.2">
      <c r="A15" s="3" t="s">
        <v>87</v>
      </c>
      <c r="B15" s="634" t="s">
        <v>612</v>
      </c>
      <c r="C15" s="635" t="s">
        <v>613</v>
      </c>
      <c r="D15" s="2" t="s">
        <v>31</v>
      </c>
      <c r="E15" s="354">
        <f t="shared" ref="E15:E21" si="4">F15/H15</f>
        <v>1549.2928332485596</v>
      </c>
      <c r="F15" s="650">
        <f>Comet!O22+'Solvent Breakdown'!D75+'Solvent Breakdown'!D177+'Solvent Breakdown'!D206+'Solvent Breakdown'!D282+'Solvent Breakdown'!D310+'Solvent Breakdown'!D340</f>
        <v>1344.7861792597498</v>
      </c>
      <c r="G15" s="20">
        <f>F15/1000</f>
        <v>1.3447861792597497</v>
      </c>
      <c r="H15" s="346">
        <v>0.86799999999999999</v>
      </c>
      <c r="I15" s="361">
        <f>Comet!O22/'Total Solvents'!F15</f>
        <v>0.79417829872990708</v>
      </c>
      <c r="J15" s="347">
        <f>1-I15</f>
        <v>0.20582170127009292</v>
      </c>
      <c r="K15" s="358">
        <v>0</v>
      </c>
      <c r="L15" s="21">
        <f t="shared" ref="L15:M21" si="5">E15/E$78</f>
        <v>4.6274509945211983E-2</v>
      </c>
      <c r="M15" s="366">
        <f t="shared" si="5"/>
        <v>4.9106918424320675E-2</v>
      </c>
      <c r="N15" s="449">
        <f>F15-2440</f>
        <v>-1095.2138207402502</v>
      </c>
      <c r="O15" s="470">
        <f t="shared" ref="O15:O21" si="6">N15/1000</f>
        <v>-1.0952138207402502</v>
      </c>
      <c r="P15" s="361">
        <f>N15/2440</f>
        <v>-0.44885812325420088</v>
      </c>
    </row>
    <row r="16" spans="1:16" x14ac:dyDescent="0.2">
      <c r="A16" s="3" t="s">
        <v>303</v>
      </c>
      <c r="B16" s="634">
        <v>5</v>
      </c>
      <c r="C16" s="635" t="s">
        <v>609</v>
      </c>
      <c r="D16" s="2" t="s">
        <v>25</v>
      </c>
      <c r="E16" s="354">
        <f t="shared" si="4"/>
        <v>11.571026397563219</v>
      </c>
      <c r="F16" s="650">
        <f>Comet!H22+'Solvent Breakdown'!D171+'Solvent Breakdown'!D296+'Solvent Breakdown'!D302+'Solvent Breakdown'!D315</f>
        <v>10.066792965880001</v>
      </c>
      <c r="G16" s="20">
        <f t="shared" ref="G16:G21" si="7">F16/1000</f>
        <v>1.0066792965880001E-2</v>
      </c>
      <c r="H16" s="346">
        <v>0.87</v>
      </c>
      <c r="I16" s="361">
        <f>Comet!H22/F16</f>
        <v>0</v>
      </c>
      <c r="J16" s="347">
        <f>1-I16</f>
        <v>1</v>
      </c>
      <c r="K16" s="358">
        <v>0</v>
      </c>
      <c r="L16" s="21">
        <f t="shared" si="5"/>
        <v>3.4560514617990626E-4</v>
      </c>
      <c r="M16" s="366">
        <f t="shared" si="5"/>
        <v>3.6760429917722206E-4</v>
      </c>
      <c r="N16" s="449">
        <f>F16-184</f>
        <v>-173.93320703411999</v>
      </c>
      <c r="O16" s="470">
        <f t="shared" si="6"/>
        <v>-0.17393320703411999</v>
      </c>
      <c r="P16" s="361">
        <f>N16/184</f>
        <v>-0.94528916866369561</v>
      </c>
    </row>
    <row r="17" spans="1:17" x14ac:dyDescent="0.2">
      <c r="A17" s="3" t="s">
        <v>90</v>
      </c>
      <c r="B17" s="634" t="s">
        <v>612</v>
      </c>
      <c r="C17" s="635" t="s">
        <v>613</v>
      </c>
      <c r="D17" s="2" t="s">
        <v>29</v>
      </c>
      <c r="E17" s="354">
        <f t="shared" si="4"/>
        <v>1407.082341825723</v>
      </c>
      <c r="F17" s="650">
        <f>Comet!L22+'Solvent Breakdown'!D11+'Solvent Breakdown'!D32+'Solvent Breakdown'!D36+'Solvent Breakdown'!D50+'Solvent Breakdown'!D57+'Solvent Breakdown'!D85+'Solvent Breakdown'!D95+'Solvent Breakdown'!D113+'Solvent Breakdown'!D155+'Solvent Breakdown'!D184+'Solvent Breakdown'!D208+'Solvent Breakdown'!D227+'Solvent Breakdown'!D311+'Solvent Breakdown'!D322+'Solvent Breakdown'!D336</f>
        <v>1221.3474727047276</v>
      </c>
      <c r="G17" s="20">
        <f t="shared" si="7"/>
        <v>1.2213474727047275</v>
      </c>
      <c r="H17" s="346">
        <v>0.86799999999999999</v>
      </c>
      <c r="I17" s="361">
        <f>Comet!L22/F17</f>
        <v>0</v>
      </c>
      <c r="J17" s="347">
        <f>1-I17</f>
        <v>1</v>
      </c>
      <c r="K17" s="358">
        <v>0</v>
      </c>
      <c r="L17" s="21">
        <f t="shared" si="5"/>
        <v>4.2026945728535742E-2</v>
      </c>
      <c r="M17" s="366">
        <f t="shared" si="5"/>
        <v>4.4599365783842285E-2</v>
      </c>
      <c r="N17" s="449">
        <f>F17-1699</f>
        <v>-477.65252729527242</v>
      </c>
      <c r="O17" s="470">
        <f t="shared" si="6"/>
        <v>-0.47765252729527241</v>
      </c>
      <c r="P17" s="361">
        <f>N17/1699</f>
        <v>-0.28113744985007205</v>
      </c>
    </row>
    <row r="18" spans="1:17" x14ac:dyDescent="0.2">
      <c r="A18" s="3" t="s">
        <v>93</v>
      </c>
      <c r="B18" s="634" t="s">
        <v>610</v>
      </c>
      <c r="C18" s="635" t="s">
        <v>611</v>
      </c>
      <c r="D18" s="2" t="s">
        <v>94</v>
      </c>
      <c r="E18" s="354">
        <f t="shared" si="4"/>
        <v>415.23550909675407</v>
      </c>
      <c r="F18" s="650">
        <f>'Solvent Breakdown'!D8+'Solvent Breakdown'!D29+'Solvent Breakdown'!D58+'Solvent Breakdown'!D86+'Solvent Breakdown'!D96+'Solvent Breakdown'!D115+'Solvent Breakdown'!D157+'Solvent Breakdown'!D183+'Solvent Breakdown'!D207+'Solvent Breakdown'!D226+'Solvent Breakdown'!D253+'Solvent Breakdown'!D266+'Solvent Breakdown'!D320+'Solvent Breakdown'!D338</f>
        <v>361.67012842327279</v>
      </c>
      <c r="G18" s="20">
        <f t="shared" si="7"/>
        <v>0.36167012842327279</v>
      </c>
      <c r="H18" s="346">
        <v>0.871</v>
      </c>
      <c r="I18" s="361">
        <v>0</v>
      </c>
      <c r="J18" s="347">
        <v>1</v>
      </c>
      <c r="K18" s="358">
        <v>0</v>
      </c>
      <c r="L18" s="21">
        <f t="shared" si="5"/>
        <v>1.2402316258710914E-2</v>
      </c>
      <c r="M18" s="366">
        <f t="shared" si="5"/>
        <v>1.3206936364241695E-2</v>
      </c>
      <c r="N18" s="449">
        <f>F18-334</f>
        <v>27.670128423272786</v>
      </c>
      <c r="O18" s="470">
        <f t="shared" si="6"/>
        <v>2.7670128423272787E-2</v>
      </c>
      <c r="P18" s="361">
        <f>N18/334</f>
        <v>8.284469587806223E-2</v>
      </c>
    </row>
    <row r="19" spans="1:17" x14ac:dyDescent="0.2">
      <c r="A19" s="23" t="s">
        <v>96</v>
      </c>
      <c r="B19" s="634">
        <v>5</v>
      </c>
      <c r="C19" s="635" t="s">
        <v>609</v>
      </c>
      <c r="D19" s="349" t="s">
        <v>97</v>
      </c>
      <c r="E19" s="354">
        <f t="shared" si="4"/>
        <v>0.10873801002272725</v>
      </c>
      <c r="F19" s="649">
        <f>'Solvent Breakdown'!D170</f>
        <v>9.5689448819999981E-2</v>
      </c>
      <c r="G19" s="20">
        <f t="shared" si="7"/>
        <v>9.5689448819999976E-5</v>
      </c>
      <c r="H19" s="346">
        <v>0.88</v>
      </c>
      <c r="I19" s="361">
        <v>0</v>
      </c>
      <c r="J19" s="347">
        <v>0</v>
      </c>
      <c r="K19" s="358">
        <v>0</v>
      </c>
      <c r="L19" s="21">
        <f t="shared" si="5"/>
        <v>3.2478031384606421E-6</v>
      </c>
      <c r="M19" s="366">
        <f t="shared" si="5"/>
        <v>3.4942461706875692E-6</v>
      </c>
      <c r="N19" s="449">
        <v>0</v>
      </c>
      <c r="O19" s="470">
        <f t="shared" si="6"/>
        <v>0</v>
      </c>
      <c r="P19" s="361" t="s">
        <v>63</v>
      </c>
    </row>
    <row r="20" spans="1:17" x14ac:dyDescent="0.2">
      <c r="A20" s="3" t="s">
        <v>102</v>
      </c>
      <c r="B20" s="634">
        <v>5</v>
      </c>
      <c r="C20" s="635" t="s">
        <v>609</v>
      </c>
      <c r="D20" s="2" t="s">
        <v>103</v>
      </c>
      <c r="E20" s="354">
        <f t="shared" si="4"/>
        <v>20.970967741935482</v>
      </c>
      <c r="F20" s="649">
        <f>'Solvent Breakdown'!D10+'Solvent Breakdown'!D25+'Solvent Breakdown'!D330</f>
        <v>19.503</v>
      </c>
      <c r="G20" s="20">
        <f t="shared" si="7"/>
        <v>1.9503E-2</v>
      </c>
      <c r="H20" s="346">
        <v>0.93</v>
      </c>
      <c r="I20" s="361">
        <v>0</v>
      </c>
      <c r="J20" s="347">
        <v>0</v>
      </c>
      <c r="K20" s="358">
        <v>0</v>
      </c>
      <c r="L20" s="21">
        <f t="shared" si="5"/>
        <v>6.2636399943846147E-4</v>
      </c>
      <c r="M20" s="366">
        <f t="shared" si="5"/>
        <v>7.1218179127682509E-4</v>
      </c>
      <c r="N20" s="449">
        <f>F20-0</f>
        <v>19.503</v>
      </c>
      <c r="O20" s="470">
        <f t="shared" si="6"/>
        <v>1.9503E-2</v>
      </c>
      <c r="P20" s="361" t="s">
        <v>63</v>
      </c>
    </row>
    <row r="21" spans="1:17" x14ac:dyDescent="0.2">
      <c r="A21" s="3" t="s">
        <v>295</v>
      </c>
      <c r="B21" s="634" t="s">
        <v>610</v>
      </c>
      <c r="C21" s="635" t="s">
        <v>611</v>
      </c>
      <c r="D21" s="2" t="s">
        <v>177</v>
      </c>
      <c r="E21" s="354">
        <f t="shared" si="4"/>
        <v>0</v>
      </c>
      <c r="F21" s="649">
        <f>'Solvent Breakdown'!D24</f>
        <v>0</v>
      </c>
      <c r="G21" s="20">
        <f t="shared" si="7"/>
        <v>0</v>
      </c>
      <c r="H21" s="346">
        <v>0.99</v>
      </c>
      <c r="I21" s="361">
        <v>0</v>
      </c>
      <c r="J21" s="347">
        <v>0</v>
      </c>
      <c r="K21" s="358">
        <v>0</v>
      </c>
      <c r="L21" s="21">
        <f t="shared" si="5"/>
        <v>0</v>
      </c>
      <c r="M21" s="366">
        <f t="shared" si="5"/>
        <v>0</v>
      </c>
      <c r="N21" s="449">
        <v>0</v>
      </c>
      <c r="O21" s="470">
        <f t="shared" si="6"/>
        <v>0</v>
      </c>
      <c r="P21" s="361" t="s">
        <v>63</v>
      </c>
    </row>
    <row r="22" spans="1:17" x14ac:dyDescent="0.2">
      <c r="A22" s="3"/>
      <c r="B22" s="634"/>
      <c r="C22" s="635"/>
      <c r="D22" s="2"/>
      <c r="E22" s="355"/>
      <c r="F22" s="345"/>
      <c r="G22" s="20"/>
      <c r="H22" s="346"/>
      <c r="I22" s="357"/>
      <c r="J22" s="81"/>
      <c r="K22" s="358"/>
      <c r="L22" s="81"/>
      <c r="M22" s="357"/>
      <c r="N22" s="451"/>
      <c r="O22" s="472"/>
      <c r="P22" s="361"/>
    </row>
    <row r="23" spans="1:17" x14ac:dyDescent="0.2">
      <c r="A23" s="8" t="s">
        <v>106</v>
      </c>
      <c r="B23" s="638"/>
      <c r="C23" s="639"/>
      <c r="D23" s="2"/>
      <c r="E23" s="357"/>
      <c r="F23" s="345"/>
      <c r="G23" s="20"/>
      <c r="H23" s="346"/>
      <c r="I23" s="357"/>
      <c r="J23" s="81"/>
      <c r="K23" s="358"/>
      <c r="L23" s="81"/>
      <c r="M23" s="357"/>
      <c r="N23" s="451"/>
      <c r="O23" s="472"/>
      <c r="P23" s="361"/>
    </row>
    <row r="24" spans="1:17" x14ac:dyDescent="0.2">
      <c r="A24" s="3" t="s">
        <v>109</v>
      </c>
      <c r="B24" s="634" t="s">
        <v>63</v>
      </c>
      <c r="C24" s="635" t="s">
        <v>63</v>
      </c>
      <c r="D24" s="2" t="s">
        <v>20</v>
      </c>
      <c r="E24" s="354">
        <f t="shared" ref="E24:E27" si="8">F24/H24</f>
        <v>3391.9092861616164</v>
      </c>
      <c r="F24" s="650">
        <f>Comet!B22+'Solvent Breakdown'!D120+'Solvent Breakdown'!D132+'Solvent Breakdown'!D197+'Solvent Breakdown'!D214+'Solvent Breakdown'!D236+'Solvent Breakdown'!D260+'Solvent Breakdown'!D267+'Solvent Breakdown'!D280</f>
        <v>2686.3921546400002</v>
      </c>
      <c r="G24" s="20">
        <f>F24/1000</f>
        <v>2.68639215464</v>
      </c>
      <c r="H24" s="346">
        <v>0.79200000000000004</v>
      </c>
      <c r="I24" s="361">
        <f>Comet!B22/F24</f>
        <v>0.97677474060060998</v>
      </c>
      <c r="J24" s="347">
        <f>1-I24</f>
        <v>2.3225259399390019E-2</v>
      </c>
      <c r="K24" s="358">
        <v>0</v>
      </c>
      <c r="L24" s="21">
        <f t="shared" ref="L24:M27" si="9">E24/E$78</f>
        <v>0.10131005361112454</v>
      </c>
      <c r="M24" s="366">
        <f t="shared" si="9"/>
        <v>9.8097706853485359E-2</v>
      </c>
      <c r="N24" s="449">
        <f>F24-2181</f>
        <v>505.39215464000017</v>
      </c>
      <c r="O24" s="470">
        <f t="shared" ref="O24:O27" si="10">N24/1000</f>
        <v>0.5053921546400002</v>
      </c>
      <c r="P24" s="361">
        <f>N24/2181</f>
        <v>0.23172496773956908</v>
      </c>
    </row>
    <row r="25" spans="1:17" x14ac:dyDescent="0.2">
      <c r="A25" s="3" t="s">
        <v>110</v>
      </c>
      <c r="B25" s="634" t="s">
        <v>612</v>
      </c>
      <c r="C25" s="635" t="s">
        <v>613</v>
      </c>
      <c r="D25" s="2" t="s">
        <v>21</v>
      </c>
      <c r="E25" s="354">
        <f t="shared" si="8"/>
        <v>2470.2239401496258</v>
      </c>
      <c r="F25" s="650">
        <f>Comet!F22+'Solvent Breakdown'!D276+'Solvent Breakdown'!D312</f>
        <v>1981.1196</v>
      </c>
      <c r="G25" s="20">
        <f t="shared" ref="G25:G27" si="11">F25/1000</f>
        <v>1.9811196</v>
      </c>
      <c r="H25" s="346">
        <v>0.80200000000000005</v>
      </c>
      <c r="I25" s="361">
        <f>Comet!F22/F25</f>
        <v>0.99943486501269285</v>
      </c>
      <c r="J25" s="347">
        <f>1-I25</f>
        <v>5.6513498730714762E-4</v>
      </c>
      <c r="K25" s="358">
        <v>0</v>
      </c>
      <c r="L25" s="21">
        <f t="shared" si="9"/>
        <v>7.378101791491061E-2</v>
      </c>
      <c r="M25" s="366">
        <f t="shared" si="9"/>
        <v>7.2343603828212436E-2</v>
      </c>
      <c r="N25" s="449">
        <f>F25-3465</f>
        <v>-1483.8804</v>
      </c>
      <c r="O25" s="470">
        <f t="shared" si="10"/>
        <v>-1.4838804000000001</v>
      </c>
      <c r="P25" s="361">
        <f>N25/3465</f>
        <v>-0.42824831168831168</v>
      </c>
      <c r="Q25" s="87"/>
    </row>
    <row r="26" spans="1:17" x14ac:dyDescent="0.2">
      <c r="A26" s="3" t="s">
        <v>111</v>
      </c>
      <c r="B26" s="634" t="s">
        <v>612</v>
      </c>
      <c r="C26" s="635" t="s">
        <v>613</v>
      </c>
      <c r="D26" s="2" t="s">
        <v>34</v>
      </c>
      <c r="E26" s="354">
        <f t="shared" si="8"/>
        <v>5175.8212208436717</v>
      </c>
      <c r="F26" s="650">
        <f>Comet!Q22+'Solvent Breakdown'!D16+'Solvent Breakdown'!D124+'Solvent Breakdown'!D186+'Solvent Breakdown'!D313+'Solvent Breakdown'!D337</f>
        <v>4171.7119039999998</v>
      </c>
      <c r="G26" s="20">
        <f t="shared" si="11"/>
        <v>4.1717119039999995</v>
      </c>
      <c r="H26" s="346">
        <v>0.80600000000000005</v>
      </c>
      <c r="I26" s="361">
        <f>Comet!Q22/F26</f>
        <v>0.90969848525762442</v>
      </c>
      <c r="J26" s="347">
        <f>1-I26</f>
        <v>9.0301514742375577E-2</v>
      </c>
      <c r="K26" s="358">
        <v>0</v>
      </c>
      <c r="L26" s="21">
        <f t="shared" si="9"/>
        <v>0.15459220195085246</v>
      </c>
      <c r="M26" s="366">
        <f t="shared" si="9"/>
        <v>0.15233642293398833</v>
      </c>
      <c r="N26" s="449">
        <f>F26-2963</f>
        <v>1208.7119039999998</v>
      </c>
      <c r="O26" s="470">
        <f t="shared" si="10"/>
        <v>1.2087119039999998</v>
      </c>
      <c r="P26" s="361">
        <f>N26/2963</f>
        <v>0.40793516841039479</v>
      </c>
      <c r="Q26" s="87"/>
    </row>
    <row r="27" spans="1:17" x14ac:dyDescent="0.2">
      <c r="A27" s="3" t="s">
        <v>112</v>
      </c>
      <c r="B27" s="634" t="s">
        <v>63</v>
      </c>
      <c r="C27" s="635" t="s">
        <v>63</v>
      </c>
      <c r="D27" s="2" t="s">
        <v>35</v>
      </c>
      <c r="E27" s="354">
        <f t="shared" si="8"/>
        <v>7.1264930232558132</v>
      </c>
      <c r="F27" s="682">
        <f>'Solvent Breakdown'!D161+'Solvent Breakdown'!D215+'Solvent Breakdown'!D220+'Solvent Breakdown'!D228+'Solvent Breakdown'!D261</f>
        <v>5.8223447999999989</v>
      </c>
      <c r="G27" s="20">
        <f t="shared" si="11"/>
        <v>5.8223447999999987E-3</v>
      </c>
      <c r="H27" s="346">
        <v>0.81699999999999995</v>
      </c>
      <c r="I27" s="361">
        <v>0</v>
      </c>
      <c r="J27" s="347">
        <f>1-I27</f>
        <v>1</v>
      </c>
      <c r="K27" s="358">
        <v>0</v>
      </c>
      <c r="L27" s="21">
        <f t="shared" si="9"/>
        <v>2.1285515894865547E-4</v>
      </c>
      <c r="M27" s="366">
        <f t="shared" si="9"/>
        <v>2.1261180070221539E-4</v>
      </c>
      <c r="N27" s="449">
        <f>F27-1</f>
        <v>4.8223447999999989</v>
      </c>
      <c r="O27" s="470">
        <f t="shared" si="10"/>
        <v>4.8223447999999986E-3</v>
      </c>
      <c r="P27" s="361">
        <f>N27/1</f>
        <v>4.8223447999999989</v>
      </c>
    </row>
    <row r="28" spans="1:17" x14ac:dyDescent="0.2">
      <c r="A28" s="3"/>
      <c r="B28" s="634"/>
      <c r="C28" s="635"/>
      <c r="D28" s="2"/>
      <c r="E28" s="355"/>
      <c r="F28" s="16"/>
      <c r="G28" s="20"/>
      <c r="H28" s="81"/>
      <c r="I28" s="357"/>
      <c r="J28" s="347"/>
      <c r="K28" s="358"/>
      <c r="L28" s="21"/>
      <c r="M28" s="366"/>
      <c r="N28" s="451"/>
      <c r="O28" s="473"/>
      <c r="P28" s="361"/>
    </row>
    <row r="29" spans="1:17" x14ac:dyDescent="0.2">
      <c r="A29" s="8" t="s">
        <v>116</v>
      </c>
      <c r="B29" s="638"/>
      <c r="C29" s="639"/>
      <c r="D29" s="2"/>
      <c r="E29" s="355"/>
      <c r="F29" s="345"/>
      <c r="G29" s="20"/>
      <c r="H29" s="346"/>
      <c r="I29" s="357"/>
      <c r="J29" s="81"/>
      <c r="K29" s="358"/>
      <c r="L29" s="81"/>
      <c r="M29" s="357"/>
      <c r="N29" s="451"/>
      <c r="O29" s="472"/>
      <c r="P29" s="370"/>
    </row>
    <row r="30" spans="1:17" x14ac:dyDescent="0.2">
      <c r="A30" s="3" t="s">
        <v>125</v>
      </c>
      <c r="B30" s="634" t="s">
        <v>612</v>
      </c>
      <c r="C30" s="635" t="s">
        <v>613</v>
      </c>
      <c r="D30" s="2" t="s">
        <v>28</v>
      </c>
      <c r="E30" s="354">
        <f t="shared" ref="E30:E34" si="12">F30/H30</f>
        <v>0</v>
      </c>
      <c r="F30" s="650">
        <f>Comet!K22</f>
        <v>0</v>
      </c>
      <c r="G30" s="20">
        <f>F30/1000</f>
        <v>0</v>
      </c>
      <c r="H30" s="346">
        <v>0.79400000000000004</v>
      </c>
      <c r="I30" s="361">
        <v>1</v>
      </c>
      <c r="J30" s="347">
        <f>1-I30</f>
        <v>0</v>
      </c>
      <c r="K30" s="358">
        <v>0</v>
      </c>
      <c r="L30" s="21">
        <f t="shared" ref="L30:M34" si="13">E30/E$78</f>
        <v>0</v>
      </c>
      <c r="M30" s="366">
        <f t="shared" si="13"/>
        <v>0</v>
      </c>
      <c r="N30" s="449">
        <f>F30-164</f>
        <v>-164</v>
      </c>
      <c r="O30" s="470">
        <f t="shared" ref="O30:O34" si="14">N30/1000</f>
        <v>-0.16400000000000001</v>
      </c>
      <c r="P30" s="361">
        <f>N30/164</f>
        <v>-1</v>
      </c>
    </row>
    <row r="31" spans="1:17" x14ac:dyDescent="0.2">
      <c r="A31" s="3" t="s">
        <v>134</v>
      </c>
      <c r="B31" s="634" t="s">
        <v>610</v>
      </c>
      <c r="C31" s="635" t="s">
        <v>611</v>
      </c>
      <c r="D31" s="2" t="s">
        <v>27</v>
      </c>
      <c r="E31" s="354">
        <f t="shared" si="12"/>
        <v>1043.4090961775585</v>
      </c>
      <c r="F31" s="650">
        <f>Comet!J22+'Solvent Breakdown'!D9+'Solvent Breakdown'!D30+'Solvent Breakdown'!D64+'Solvent Breakdown'!D73+'Solvent Breakdown'!D104</f>
        <v>846.20477699999992</v>
      </c>
      <c r="G31" s="20">
        <f t="shared" ref="G31:G34" si="15">F31/1000</f>
        <v>0.84620477699999996</v>
      </c>
      <c r="H31" s="346">
        <v>0.81100000000000005</v>
      </c>
      <c r="I31" s="361">
        <f>Comet!J22/F31</f>
        <v>0</v>
      </c>
      <c r="J31" s="347">
        <f>1-I31</f>
        <v>1</v>
      </c>
      <c r="K31" s="358">
        <v>0</v>
      </c>
      <c r="L31" s="21">
        <f t="shared" si="13"/>
        <v>3.1164698862482115E-2</v>
      </c>
      <c r="M31" s="366">
        <f t="shared" si="13"/>
        <v>3.0900458076750563E-2</v>
      </c>
      <c r="N31" s="449">
        <f>F31-1941</f>
        <v>-1094.7952230000001</v>
      </c>
      <c r="O31" s="470">
        <f t="shared" si="14"/>
        <v>-1.094795223</v>
      </c>
      <c r="P31" s="361">
        <f>N31/1941</f>
        <v>-0.56403669397217937</v>
      </c>
    </row>
    <row r="32" spans="1:17" x14ac:dyDescent="0.2">
      <c r="A32" s="3" t="s">
        <v>341</v>
      </c>
      <c r="B32" s="634" t="s">
        <v>63</v>
      </c>
      <c r="C32" s="635" t="s">
        <v>63</v>
      </c>
      <c r="D32" s="2" t="s">
        <v>171</v>
      </c>
      <c r="E32" s="354">
        <f t="shared" si="12"/>
        <v>188.0758389261745</v>
      </c>
      <c r="F32" s="649">
        <f>Comet!V22+'Solvent Breakdown'!D122</f>
        <v>176.54678999999999</v>
      </c>
      <c r="G32" s="20">
        <f t="shared" si="15"/>
        <v>0.17654678999999998</v>
      </c>
      <c r="H32" s="81">
        <v>0.93869999999999998</v>
      </c>
      <c r="I32" s="361">
        <v>0</v>
      </c>
      <c r="J32" s="347">
        <v>1</v>
      </c>
      <c r="K32" s="358">
        <v>0</v>
      </c>
      <c r="L32" s="21">
        <f t="shared" si="13"/>
        <v>5.6174772722562974E-3</v>
      </c>
      <c r="M32" s="366">
        <f t="shared" si="13"/>
        <v>6.4468753087408839E-3</v>
      </c>
      <c r="N32" s="449">
        <f>F32-244</f>
        <v>-67.453210000000013</v>
      </c>
      <c r="O32" s="470">
        <f t="shared" si="14"/>
        <v>-6.7453210000000013E-2</v>
      </c>
      <c r="P32" s="361">
        <f>N32/244</f>
        <v>-0.27644758196721314</v>
      </c>
    </row>
    <row r="33" spans="1:18" x14ac:dyDescent="0.2">
      <c r="A33" s="3" t="s">
        <v>172</v>
      </c>
      <c r="B33" s="634">
        <v>5</v>
      </c>
      <c r="C33" s="635" t="s">
        <v>609</v>
      </c>
      <c r="D33" s="2" t="s">
        <v>173</v>
      </c>
      <c r="E33" s="354">
        <f t="shared" si="12"/>
        <v>0</v>
      </c>
      <c r="F33" s="649">
        <v>0</v>
      </c>
      <c r="G33" s="20">
        <f t="shared" si="15"/>
        <v>0</v>
      </c>
      <c r="H33" s="346">
        <v>0.79</v>
      </c>
      <c r="I33" s="361">
        <v>0</v>
      </c>
      <c r="J33" s="347">
        <v>0</v>
      </c>
      <c r="K33" s="358">
        <v>0</v>
      </c>
      <c r="L33" s="21">
        <f t="shared" si="13"/>
        <v>0</v>
      </c>
      <c r="M33" s="366">
        <f t="shared" si="13"/>
        <v>0</v>
      </c>
      <c r="N33" s="449">
        <v>0</v>
      </c>
      <c r="O33" s="470">
        <f t="shared" si="14"/>
        <v>0</v>
      </c>
      <c r="P33" s="361" t="s">
        <v>63</v>
      </c>
    </row>
    <row r="34" spans="1:18" x14ac:dyDescent="0.2">
      <c r="A34" s="24" t="s">
        <v>525</v>
      </c>
      <c r="B34" s="634" t="s">
        <v>612</v>
      </c>
      <c r="C34" s="635" t="s">
        <v>613</v>
      </c>
      <c r="D34" s="648" t="s">
        <v>614</v>
      </c>
      <c r="E34" s="354">
        <f t="shared" si="12"/>
        <v>134.52744943435036</v>
      </c>
      <c r="F34" s="650">
        <f>'Solvent Breakdown'!D119+'Solvent Breakdown'!D137++'Solvent Breakdown'!D149+'Solvent Breakdown'!D321</f>
        <v>117.724971</v>
      </c>
      <c r="G34" s="20">
        <f t="shared" si="15"/>
        <v>0.117724971</v>
      </c>
      <c r="H34" s="346">
        <v>0.87509999999999999</v>
      </c>
      <c r="I34" s="361">
        <v>0</v>
      </c>
      <c r="J34" s="347">
        <v>1</v>
      </c>
      <c r="K34" s="358">
        <v>0</v>
      </c>
      <c r="L34" s="21">
        <f t="shared" si="13"/>
        <v>4.0180859700363137E-3</v>
      </c>
      <c r="M34" s="366">
        <f t="shared" si="13"/>
        <v>4.2989068720090387E-3</v>
      </c>
      <c r="N34" s="449">
        <f>F34-122</f>
        <v>-4.2750290000000035</v>
      </c>
      <c r="O34" s="470">
        <f t="shared" si="14"/>
        <v>-4.2750290000000031E-3</v>
      </c>
      <c r="P34" s="361">
        <f>N34/122</f>
        <v>-3.504122131147544E-2</v>
      </c>
    </row>
    <row r="35" spans="1:18" x14ac:dyDescent="0.2">
      <c r="A35" s="8"/>
      <c r="B35" s="638"/>
      <c r="C35" s="639"/>
      <c r="D35" s="2"/>
      <c r="E35" s="357"/>
      <c r="F35" s="345"/>
      <c r="G35" s="20"/>
      <c r="H35" s="346"/>
      <c r="I35" s="357"/>
      <c r="J35" s="81"/>
      <c r="K35" s="358"/>
      <c r="L35" s="81"/>
      <c r="M35" s="357"/>
      <c r="N35" s="451"/>
      <c r="O35" s="472"/>
      <c r="P35" s="361"/>
    </row>
    <row r="36" spans="1:18" x14ac:dyDescent="0.2">
      <c r="A36" s="8" t="s">
        <v>178</v>
      </c>
      <c r="B36" s="638"/>
      <c r="C36" s="639"/>
      <c r="D36" s="2"/>
      <c r="E36" s="357"/>
      <c r="F36" s="345"/>
      <c r="G36" s="20"/>
      <c r="H36" s="346"/>
      <c r="I36" s="357"/>
      <c r="J36" s="81"/>
      <c r="K36" s="358"/>
      <c r="L36" s="81"/>
      <c r="M36" s="357"/>
      <c r="N36" s="451"/>
      <c r="O36" s="472"/>
      <c r="P36" s="361"/>
    </row>
    <row r="37" spans="1:18" x14ac:dyDescent="0.2">
      <c r="A37" s="3" t="s">
        <v>180</v>
      </c>
      <c r="B37" s="634">
        <v>5</v>
      </c>
      <c r="C37" s="635" t="s">
        <v>609</v>
      </c>
      <c r="D37" s="2" t="s">
        <v>36</v>
      </c>
      <c r="E37" s="354">
        <f t="shared" ref="E37:E53" si="16">F37/H37</f>
        <v>253.03466253327665</v>
      </c>
      <c r="F37" s="650">
        <f>Comet!S22+'Solvent Breakdown'!D169+'Solvent Breakdown'!D179+'Solvent Breakdown'!D187+'Solvent Breakdown'!D209+'Solvent Breakdown'!D229+'Solvent Breakdown'!D268</f>
        <v>223.17657235435001</v>
      </c>
      <c r="G37" s="20">
        <f>F37/1000</f>
        <v>0.22317657235435001</v>
      </c>
      <c r="H37" s="346">
        <v>0.88200000000000001</v>
      </c>
      <c r="I37" s="361">
        <f>Comet!S22/F37</f>
        <v>0.81549778312316912</v>
      </c>
      <c r="J37" s="347">
        <f>1-I37</f>
        <v>0.18450221687683088</v>
      </c>
      <c r="K37" s="358">
        <v>0</v>
      </c>
      <c r="L37" s="21">
        <f t="shared" ref="L37:L53" si="17">E37/E$78</f>
        <v>7.5576771263621634E-3</v>
      </c>
      <c r="M37" s="366">
        <f t="shared" ref="M37:M53" si="18">F37/F$78</f>
        <v>8.1496329318742223E-3</v>
      </c>
      <c r="N37" s="449">
        <f>F37-41</f>
        <v>182.17657235435001</v>
      </c>
      <c r="O37" s="470">
        <f t="shared" ref="O37:O53" si="19">N37/1000</f>
        <v>0.18217657235435</v>
      </c>
      <c r="P37" s="361">
        <f>N37/41</f>
        <v>4.4433310330329272</v>
      </c>
    </row>
    <row r="38" spans="1:18" x14ac:dyDescent="0.2">
      <c r="A38" s="3" t="s">
        <v>181</v>
      </c>
      <c r="B38" s="634">
        <v>5</v>
      </c>
      <c r="C38" s="635" t="s">
        <v>609</v>
      </c>
      <c r="D38" s="2" t="s">
        <v>23</v>
      </c>
      <c r="E38" s="354">
        <f t="shared" si="16"/>
        <v>1.0505733333333331</v>
      </c>
      <c r="F38" s="679">
        <f>Comet!G22+'Solvent Breakdown'!D22+'Solvent Breakdown'!D37+'Solvent Breakdown'!D41+'Solvent Breakdown'!D255+'Solvent Breakdown'!D270+'Solvent Breakdown'!D328</f>
        <v>1.0085503999999998</v>
      </c>
      <c r="G38" s="20">
        <f t="shared" ref="G38:G53" si="20">F38/1000</f>
        <v>1.0085503999999999E-3</v>
      </c>
      <c r="H38" s="346">
        <v>0.96</v>
      </c>
      <c r="I38" s="361">
        <f>Comet!G22/F38</f>
        <v>0</v>
      </c>
      <c r="J38" s="347">
        <v>0</v>
      </c>
      <c r="K38" s="358">
        <v>0</v>
      </c>
      <c r="L38" s="21">
        <f t="shared" si="17"/>
        <v>3.1378681368823163E-5</v>
      </c>
      <c r="M38" s="366">
        <f t="shared" si="18"/>
        <v>3.6828756112647198E-5</v>
      </c>
      <c r="N38" s="449">
        <f>F38-0</f>
        <v>1.0085503999999998</v>
      </c>
      <c r="O38" s="470">
        <f t="shared" si="19"/>
        <v>1.0085503999999999E-3</v>
      </c>
      <c r="P38" s="361" t="s">
        <v>63</v>
      </c>
    </row>
    <row r="39" spans="1:18" x14ac:dyDescent="0.2">
      <c r="A39" s="3" t="s">
        <v>182</v>
      </c>
      <c r="B39" s="634">
        <v>5</v>
      </c>
      <c r="C39" s="635" t="s">
        <v>609</v>
      </c>
      <c r="D39" s="2" t="s">
        <v>22</v>
      </c>
      <c r="E39" s="354">
        <f t="shared" si="16"/>
        <v>418.53065936842108</v>
      </c>
      <c r="F39" s="650">
        <f>Comet!C22+'Solvent Breakdown'!D65+'Solvent Breakdown'!D314</f>
        <v>397.60412639999998</v>
      </c>
      <c r="G39" s="20">
        <f t="shared" si="20"/>
        <v>0.39760412639999998</v>
      </c>
      <c r="H39" s="346">
        <v>0.95</v>
      </c>
      <c r="I39" s="361">
        <f>Comet!G22/F39</f>
        <v>0</v>
      </c>
      <c r="J39" s="347">
        <f t="shared" ref="J39:J52" si="21">1-I39</f>
        <v>1</v>
      </c>
      <c r="K39" s="358">
        <v>0</v>
      </c>
      <c r="L39" s="21">
        <f t="shared" si="17"/>
        <v>1.2500736299612736E-2</v>
      </c>
      <c r="M39" s="366">
        <f t="shared" si="18"/>
        <v>1.4519121107450605E-2</v>
      </c>
      <c r="N39" s="449">
        <f>F39-776</f>
        <v>-378.39587360000002</v>
      </c>
      <c r="O39" s="470">
        <f t="shared" si="19"/>
        <v>-0.37839587360000004</v>
      </c>
      <c r="P39" s="361">
        <f>N39/776</f>
        <v>-0.48762354845360828</v>
      </c>
    </row>
    <row r="40" spans="1:18" x14ac:dyDescent="0.2">
      <c r="A40" s="3" t="s">
        <v>184</v>
      </c>
      <c r="B40" s="634" t="s">
        <v>610</v>
      </c>
      <c r="C40" s="635" t="s">
        <v>611</v>
      </c>
      <c r="D40" s="2" t="s">
        <v>185</v>
      </c>
      <c r="E40" s="354">
        <f t="shared" si="16"/>
        <v>0</v>
      </c>
      <c r="F40" s="682">
        <f>'Solvent Breakdown'!D43</f>
        <v>0</v>
      </c>
      <c r="G40" s="20">
        <f t="shared" si="20"/>
        <v>0</v>
      </c>
      <c r="H40" s="346">
        <v>1.028</v>
      </c>
      <c r="I40" s="361">
        <v>0</v>
      </c>
      <c r="J40" s="347">
        <v>0</v>
      </c>
      <c r="K40" s="358">
        <v>0</v>
      </c>
      <c r="L40" s="21">
        <f t="shared" si="17"/>
        <v>0</v>
      </c>
      <c r="M40" s="366">
        <f t="shared" si="18"/>
        <v>0</v>
      </c>
      <c r="N40" s="449">
        <v>0</v>
      </c>
      <c r="O40" s="470">
        <f t="shared" si="19"/>
        <v>0</v>
      </c>
      <c r="P40" s="361" t="s">
        <v>63</v>
      </c>
    </row>
    <row r="41" spans="1:18" x14ac:dyDescent="0.2">
      <c r="A41" s="3" t="s">
        <v>186</v>
      </c>
      <c r="B41" s="634">
        <v>5</v>
      </c>
      <c r="C41" s="635" t="s">
        <v>609</v>
      </c>
      <c r="D41" s="350" t="s">
        <v>24</v>
      </c>
      <c r="E41" s="354">
        <f t="shared" si="16"/>
        <v>0</v>
      </c>
      <c r="F41" s="649">
        <f>Comet!D22</f>
        <v>0</v>
      </c>
      <c r="G41" s="20">
        <f t="shared" si="20"/>
        <v>0</v>
      </c>
      <c r="H41" s="346">
        <v>0.92400000000000004</v>
      </c>
      <c r="I41" s="361">
        <v>0</v>
      </c>
      <c r="J41" s="347">
        <v>0</v>
      </c>
      <c r="K41" s="358">
        <v>0</v>
      </c>
      <c r="L41" s="21">
        <f t="shared" si="17"/>
        <v>0</v>
      </c>
      <c r="M41" s="366">
        <f t="shared" si="18"/>
        <v>0</v>
      </c>
      <c r="N41" s="449">
        <f>F41-190</f>
        <v>-190</v>
      </c>
      <c r="O41" s="470">
        <f t="shared" si="19"/>
        <v>-0.19</v>
      </c>
      <c r="P41" s="361">
        <f>N41/190</f>
        <v>-1</v>
      </c>
    </row>
    <row r="42" spans="1:18" x14ac:dyDescent="0.2">
      <c r="A42" s="3" t="s">
        <v>187</v>
      </c>
      <c r="B42" s="634">
        <v>5</v>
      </c>
      <c r="C42" s="635" t="s">
        <v>609</v>
      </c>
      <c r="D42" s="2" t="s">
        <v>175</v>
      </c>
      <c r="E42" s="354">
        <f t="shared" si="16"/>
        <v>0</v>
      </c>
      <c r="F42" s="682">
        <f>'Solvent Breakdown'!D23+'Solvent Breakdown'!D329</f>
        <v>0</v>
      </c>
      <c r="G42" s="20">
        <f t="shared" si="20"/>
        <v>0</v>
      </c>
      <c r="H42" s="346">
        <v>0.95</v>
      </c>
      <c r="I42" s="361">
        <v>0</v>
      </c>
      <c r="J42" s="347">
        <v>0</v>
      </c>
      <c r="K42" s="358">
        <v>0</v>
      </c>
      <c r="L42" s="21">
        <f t="shared" si="17"/>
        <v>0</v>
      </c>
      <c r="M42" s="366">
        <f t="shared" si="18"/>
        <v>0</v>
      </c>
      <c r="N42" s="449">
        <v>0</v>
      </c>
      <c r="O42" s="470">
        <f t="shared" si="19"/>
        <v>0</v>
      </c>
      <c r="P42" s="361" t="s">
        <v>63</v>
      </c>
    </row>
    <row r="43" spans="1:18" x14ac:dyDescent="0.2">
      <c r="A43" s="3" t="s">
        <v>188</v>
      </c>
      <c r="B43" s="634" t="s">
        <v>612</v>
      </c>
      <c r="C43" s="635" t="s">
        <v>613</v>
      </c>
      <c r="D43" s="2" t="s">
        <v>189</v>
      </c>
      <c r="E43" s="354">
        <f t="shared" si="16"/>
        <v>3424.0694544444445</v>
      </c>
      <c r="F43" s="650">
        <f>'Solvent Breakdown'!D49+'Solvent Breakdown'!D63+'Solvent Breakdown'!D71+'Solvent Breakdown'!D84+'Solvent Breakdown'!D94+'Solvent Breakdown'!D111+'Solvent Breakdown'!D123+'Solvent Breakdown'!D134+'Solvent Breakdown'!D147+'Solvent Breakdown'!D339</f>
        <v>3081.6625090000002</v>
      </c>
      <c r="G43" s="20">
        <f t="shared" si="20"/>
        <v>3.081662509</v>
      </c>
      <c r="H43" s="346">
        <v>0.9</v>
      </c>
      <c r="I43" s="361">
        <v>0</v>
      </c>
      <c r="J43" s="347">
        <f t="shared" si="21"/>
        <v>1</v>
      </c>
      <c r="K43" s="358">
        <v>0</v>
      </c>
      <c r="L43" s="21">
        <f t="shared" si="17"/>
        <v>0.10227061832497722</v>
      </c>
      <c r="M43" s="366">
        <f t="shared" si="18"/>
        <v>0.1125316067153902</v>
      </c>
      <c r="N43" s="449">
        <f>F43-4488</f>
        <v>-1406.3374909999998</v>
      </c>
      <c r="O43" s="470">
        <f t="shared" si="19"/>
        <v>-1.4063374909999997</v>
      </c>
      <c r="P43" s="361">
        <f>N43/4488</f>
        <v>-0.31335505592691615</v>
      </c>
      <c r="Q43" s="87"/>
      <c r="R43" s="87"/>
    </row>
    <row r="44" spans="1:18" x14ac:dyDescent="0.2">
      <c r="A44" s="3" t="s">
        <v>190</v>
      </c>
      <c r="B44" s="634">
        <v>5</v>
      </c>
      <c r="C44" s="635" t="s">
        <v>609</v>
      </c>
      <c r="D44" s="2" t="s">
        <v>191</v>
      </c>
      <c r="E44" s="354">
        <f t="shared" si="16"/>
        <v>992.65433237657874</v>
      </c>
      <c r="F44" s="649">
        <f>'Solvent Breakdown'!D66+'Solvent Breakdown'!D74+'Solvent Breakdown'!D126+'Solvent Breakdown'!D130+'Solvent Breakdown'!D230</f>
        <v>864.60192350000011</v>
      </c>
      <c r="G44" s="20">
        <f t="shared" si="20"/>
        <v>0.86460192350000009</v>
      </c>
      <c r="H44" s="346">
        <v>0.871</v>
      </c>
      <c r="I44" s="363">
        <v>0</v>
      </c>
      <c r="J44" s="347">
        <f t="shared" si="21"/>
        <v>1</v>
      </c>
      <c r="K44" s="358">
        <v>0</v>
      </c>
      <c r="L44" s="21">
        <f t="shared" si="17"/>
        <v>2.9648747990011694E-2</v>
      </c>
      <c r="M44" s="366">
        <f t="shared" si="18"/>
        <v>3.1572257940810054E-2</v>
      </c>
      <c r="N44" s="449">
        <f>F44-998</f>
        <v>-133.39807649999989</v>
      </c>
      <c r="O44" s="470">
        <f t="shared" si="19"/>
        <v>-0.13339807649999988</v>
      </c>
      <c r="P44" s="361">
        <f>N44/998</f>
        <v>-0.13366540731462914</v>
      </c>
    </row>
    <row r="45" spans="1:18" x14ac:dyDescent="0.2">
      <c r="A45" s="3" t="s">
        <v>193</v>
      </c>
      <c r="B45" s="634">
        <v>5</v>
      </c>
      <c r="C45" s="635" t="s">
        <v>609</v>
      </c>
      <c r="D45" s="2" t="s">
        <v>194</v>
      </c>
      <c r="E45" s="354">
        <f t="shared" si="16"/>
        <v>148.39292045454545</v>
      </c>
      <c r="F45" s="649">
        <f>'Solvent Breakdown'!D67+'Solvent Breakdown'!D121+'Solvent Breakdown'!D131</f>
        <v>130.58577</v>
      </c>
      <c r="G45" s="20">
        <f t="shared" si="20"/>
        <v>0.13058576999999999</v>
      </c>
      <c r="H45" s="346">
        <v>0.88</v>
      </c>
      <c r="I45" s="363">
        <v>0</v>
      </c>
      <c r="J45" s="347">
        <f t="shared" si="21"/>
        <v>1</v>
      </c>
      <c r="K45" s="358">
        <v>0</v>
      </c>
      <c r="L45" s="21">
        <f t="shared" si="17"/>
        <v>4.4322219311984917E-3</v>
      </c>
      <c r="M45" s="366">
        <f t="shared" si="18"/>
        <v>4.7685385629833094E-3</v>
      </c>
      <c r="N45" s="449">
        <f>F45-231</f>
        <v>-100.41423</v>
      </c>
      <c r="O45" s="470">
        <f t="shared" si="19"/>
        <v>-0.10041423000000001</v>
      </c>
      <c r="P45" s="361">
        <f>N45/231</f>
        <v>-0.43469363636363639</v>
      </c>
    </row>
    <row r="46" spans="1:18" x14ac:dyDescent="0.2">
      <c r="A46" s="23" t="s">
        <v>197</v>
      </c>
      <c r="B46" s="634">
        <v>5</v>
      </c>
      <c r="C46" s="635" t="s">
        <v>609</v>
      </c>
      <c r="D46" s="2" t="s">
        <v>198</v>
      </c>
      <c r="E46" s="354">
        <f t="shared" si="16"/>
        <v>1.2859872708113802</v>
      </c>
      <c r="F46" s="682">
        <f>'Solvent Breakdown'!D262</f>
        <v>1.2204019199999998</v>
      </c>
      <c r="G46" s="20">
        <f t="shared" si="20"/>
        <v>1.2204019199999999E-3</v>
      </c>
      <c r="H46" s="346">
        <v>0.94899999999999995</v>
      </c>
      <c r="I46" s="363">
        <v>0</v>
      </c>
      <c r="J46" s="347">
        <v>0</v>
      </c>
      <c r="K46" s="358">
        <v>0</v>
      </c>
      <c r="L46" s="21">
        <f t="shared" si="17"/>
        <v>3.8410060045136764E-5</v>
      </c>
      <c r="M46" s="366">
        <f t="shared" si="18"/>
        <v>4.456483748465756E-5</v>
      </c>
      <c r="N46" s="449">
        <f>F46-0.2</f>
        <v>1.0204019199999999</v>
      </c>
      <c r="O46" s="470">
        <f t="shared" si="19"/>
        <v>1.0204019199999998E-3</v>
      </c>
      <c r="P46" s="361">
        <f>N46/0.2</f>
        <v>5.1020095999999988</v>
      </c>
    </row>
    <row r="47" spans="1:18" x14ac:dyDescent="0.2">
      <c r="A47" s="3" t="s">
        <v>183</v>
      </c>
      <c r="B47" s="634">
        <v>5</v>
      </c>
      <c r="C47" s="635" t="s">
        <v>609</v>
      </c>
      <c r="D47" s="2" t="s">
        <v>115</v>
      </c>
      <c r="E47" s="354">
        <f t="shared" si="16"/>
        <v>0</v>
      </c>
      <c r="F47" s="683">
        <f>'Solvent Breakdown'!D17</f>
        <v>0</v>
      </c>
      <c r="G47" s="20">
        <f t="shared" si="20"/>
        <v>0</v>
      </c>
      <c r="H47" s="346">
        <v>1.1000000000000001</v>
      </c>
      <c r="I47" s="363">
        <v>0</v>
      </c>
      <c r="J47" s="347">
        <v>0</v>
      </c>
      <c r="K47" s="358">
        <v>0</v>
      </c>
      <c r="L47" s="21">
        <f t="shared" si="17"/>
        <v>0</v>
      </c>
      <c r="M47" s="366">
        <f t="shared" si="18"/>
        <v>0</v>
      </c>
      <c r="N47" s="449">
        <v>0</v>
      </c>
      <c r="O47" s="470">
        <f t="shared" si="19"/>
        <v>0</v>
      </c>
      <c r="P47" s="361" t="s">
        <v>63</v>
      </c>
    </row>
    <row r="48" spans="1:18" x14ac:dyDescent="0.2">
      <c r="A48" s="3" t="s">
        <v>183</v>
      </c>
      <c r="B48" s="634">
        <v>5</v>
      </c>
      <c r="C48" s="635" t="s">
        <v>609</v>
      </c>
      <c r="D48" s="2" t="s">
        <v>124</v>
      </c>
      <c r="E48" s="354">
        <f t="shared" si="16"/>
        <v>0</v>
      </c>
      <c r="F48" s="683">
        <f>'Solvent Breakdown'!D18</f>
        <v>0</v>
      </c>
      <c r="G48" s="20">
        <f t="shared" si="20"/>
        <v>0</v>
      </c>
      <c r="H48" s="346">
        <v>1.1000000000000001</v>
      </c>
      <c r="I48" s="363">
        <v>0</v>
      </c>
      <c r="J48" s="347">
        <v>0</v>
      </c>
      <c r="K48" s="358">
        <v>0</v>
      </c>
      <c r="L48" s="21">
        <f t="shared" si="17"/>
        <v>0</v>
      </c>
      <c r="M48" s="366">
        <f t="shared" si="18"/>
        <v>0</v>
      </c>
      <c r="N48" s="449">
        <v>0</v>
      </c>
      <c r="O48" s="470">
        <f t="shared" si="19"/>
        <v>0</v>
      </c>
      <c r="P48" s="361" t="s">
        <v>63</v>
      </c>
    </row>
    <row r="49" spans="1:16" x14ac:dyDescent="0.2">
      <c r="A49" s="3" t="s">
        <v>314</v>
      </c>
      <c r="B49" s="634">
        <v>5</v>
      </c>
      <c r="C49" s="635" t="s">
        <v>609</v>
      </c>
      <c r="D49" s="2" t="s">
        <v>199</v>
      </c>
      <c r="E49" s="354">
        <f t="shared" si="16"/>
        <v>0.14859414893617021</v>
      </c>
      <c r="F49" s="679">
        <f>'Solvent Breakdown'!D221</f>
        <v>0.13967849999999998</v>
      </c>
      <c r="G49" s="20">
        <f t="shared" si="20"/>
        <v>1.3967849999999999E-4</v>
      </c>
      <c r="H49" s="346">
        <v>0.94</v>
      </c>
      <c r="I49" s="363">
        <v>0</v>
      </c>
      <c r="J49" s="347">
        <v>0</v>
      </c>
      <c r="K49" s="358">
        <v>0</v>
      </c>
      <c r="L49" s="21">
        <f t="shared" si="17"/>
        <v>4.4382322535690411E-6</v>
      </c>
      <c r="M49" s="366">
        <f t="shared" si="18"/>
        <v>5.1005734673055429E-6</v>
      </c>
      <c r="N49" s="449">
        <f>F49-0.14</f>
        <v>-3.215000000000301E-4</v>
      </c>
      <c r="O49" s="470">
        <f t="shared" si="19"/>
        <v>-3.2150000000003008E-7</v>
      </c>
      <c r="P49" s="361">
        <f>N49/0.14</f>
        <v>-2.2964285714287863E-3</v>
      </c>
    </row>
    <row r="50" spans="1:16" x14ac:dyDescent="0.2">
      <c r="A50" s="74" t="s">
        <v>421</v>
      </c>
      <c r="B50" s="634" t="s">
        <v>610</v>
      </c>
      <c r="C50" s="635" t="s">
        <v>611</v>
      </c>
      <c r="D50" s="350" t="s">
        <v>407</v>
      </c>
      <c r="E50" s="354">
        <f t="shared" si="16"/>
        <v>454.64409361069829</v>
      </c>
      <c r="F50" s="679">
        <f>'Solvent Breakdown'!D72</f>
        <v>428.36566499999992</v>
      </c>
      <c r="G50" s="20">
        <f t="shared" si="20"/>
        <v>0.4283656649999999</v>
      </c>
      <c r="H50" s="346">
        <v>0.94220000000000004</v>
      </c>
      <c r="I50" s="361">
        <v>0</v>
      </c>
      <c r="J50" s="347">
        <f t="shared" si="21"/>
        <v>1</v>
      </c>
      <c r="K50" s="358">
        <v>0</v>
      </c>
      <c r="L50" s="21">
        <f t="shared" si="17"/>
        <v>1.3579377752110766E-2</v>
      </c>
      <c r="M50" s="366">
        <f t="shared" si="18"/>
        <v>1.5642425607403389E-2</v>
      </c>
      <c r="N50" s="449">
        <f>F50-199.2</f>
        <v>229.16566499999993</v>
      </c>
      <c r="O50" s="470">
        <f t="shared" si="19"/>
        <v>0.22916566499999994</v>
      </c>
      <c r="P50" s="361">
        <f>N50/199.2</f>
        <v>1.1504300451807226</v>
      </c>
    </row>
    <row r="51" spans="1:16" x14ac:dyDescent="0.2">
      <c r="A51" s="3" t="s">
        <v>342</v>
      </c>
      <c r="B51" s="634">
        <v>5</v>
      </c>
      <c r="C51" s="635" t="s">
        <v>609</v>
      </c>
      <c r="D51" s="2" t="s">
        <v>332</v>
      </c>
      <c r="E51" s="354">
        <f t="shared" si="16"/>
        <v>0</v>
      </c>
      <c r="F51" s="679">
        <f>'Solvent Breakdown'!D269</f>
        <v>0</v>
      </c>
      <c r="G51" s="20">
        <f t="shared" si="20"/>
        <v>0</v>
      </c>
      <c r="H51" s="346">
        <v>0.86650000000000005</v>
      </c>
      <c r="I51" s="361">
        <v>0</v>
      </c>
      <c r="J51" s="347">
        <v>0</v>
      </c>
      <c r="K51" s="358">
        <v>0</v>
      </c>
      <c r="L51" s="21">
        <f t="shared" si="17"/>
        <v>0</v>
      </c>
      <c r="M51" s="366">
        <f t="shared" si="18"/>
        <v>0</v>
      </c>
      <c r="N51" s="449">
        <v>0</v>
      </c>
      <c r="O51" s="470">
        <f t="shared" si="19"/>
        <v>0</v>
      </c>
      <c r="P51" s="361" t="s">
        <v>63</v>
      </c>
    </row>
    <row r="52" spans="1:16" x14ac:dyDescent="0.2">
      <c r="A52" s="3" t="s">
        <v>422</v>
      </c>
      <c r="B52" s="634">
        <v>5</v>
      </c>
      <c r="C52" s="635" t="s">
        <v>609</v>
      </c>
      <c r="D52" s="2" t="s">
        <v>382</v>
      </c>
      <c r="E52" s="354">
        <f t="shared" si="16"/>
        <v>34.132725668009208</v>
      </c>
      <c r="F52" s="684">
        <f>'Solvent Breakdown'!D178</f>
        <v>29.661338605499999</v>
      </c>
      <c r="G52" s="20">
        <f t="shared" si="20"/>
        <v>2.96613386055E-2</v>
      </c>
      <c r="H52" s="346">
        <v>0.86899999999999999</v>
      </c>
      <c r="I52" s="361">
        <v>0</v>
      </c>
      <c r="J52" s="347">
        <f t="shared" si="21"/>
        <v>1</v>
      </c>
      <c r="K52" s="358">
        <v>0</v>
      </c>
      <c r="L52" s="21">
        <f t="shared" si="17"/>
        <v>1.0194813527082795E-3</v>
      </c>
      <c r="M52" s="366">
        <f t="shared" si="18"/>
        <v>1.0831290191115949E-3</v>
      </c>
      <c r="N52" s="449">
        <f>F52-29.66</f>
        <v>1.3386054999990904E-3</v>
      </c>
      <c r="O52" s="470">
        <f t="shared" si="19"/>
        <v>1.3386054999990903E-6</v>
      </c>
      <c r="P52" s="361">
        <f>N52/29.6</f>
        <v>4.522315878375305E-5</v>
      </c>
    </row>
    <row r="53" spans="1:16" x14ac:dyDescent="0.2">
      <c r="A53" s="465" t="s">
        <v>423</v>
      </c>
      <c r="B53" s="642">
        <v>5</v>
      </c>
      <c r="C53" s="643" t="s">
        <v>609</v>
      </c>
      <c r="D53" s="463" t="s">
        <v>386</v>
      </c>
      <c r="E53" s="466">
        <f t="shared" si="16"/>
        <v>627.9436830835117</v>
      </c>
      <c r="F53" s="685">
        <f>'Solvent Breakdown'!D109+'Solvent Breakdown'!D286</f>
        <v>586.49939999999992</v>
      </c>
      <c r="G53" s="457">
        <f t="shared" si="20"/>
        <v>0.58649939999999989</v>
      </c>
      <c r="H53" s="458">
        <v>0.93400000000000005</v>
      </c>
      <c r="I53" s="464">
        <v>0</v>
      </c>
      <c r="J53" s="467">
        <v>0</v>
      </c>
      <c r="K53" s="461">
        <v>0</v>
      </c>
      <c r="L53" s="19">
        <f t="shared" si="17"/>
        <v>1.8755515796812016E-2</v>
      </c>
      <c r="M53" s="446">
        <f t="shared" si="18"/>
        <v>2.1416920128943397E-2</v>
      </c>
      <c r="N53" s="468">
        <f>F53-0</f>
        <v>586.49939999999992</v>
      </c>
      <c r="O53" s="474">
        <f t="shared" si="19"/>
        <v>0.58649939999999989</v>
      </c>
      <c r="P53" s="464" t="s">
        <v>63</v>
      </c>
    </row>
    <row r="54" spans="1:16" x14ac:dyDescent="0.2">
      <c r="A54" s="454" t="s">
        <v>532</v>
      </c>
      <c r="B54" s="642"/>
      <c r="C54" s="643"/>
      <c r="D54" s="455"/>
      <c r="E54" s="477">
        <f>SUM(E37:E53)</f>
        <v>6355.8876862925672</v>
      </c>
      <c r="F54" s="456">
        <f>SUM(F37:F53)</f>
        <v>5744.5259356798497</v>
      </c>
      <c r="G54" s="457">
        <f>SUM(G37:G53)</f>
        <v>5.7445259356798513</v>
      </c>
      <c r="H54" s="458"/>
      <c r="I54" s="459"/>
      <c r="J54" s="460"/>
      <c r="K54" s="461"/>
      <c r="L54" s="460"/>
      <c r="M54" s="459"/>
      <c r="N54" s="462"/>
      <c r="O54" s="475"/>
      <c r="P54" s="464"/>
    </row>
    <row r="55" spans="1:16" x14ac:dyDescent="0.2">
      <c r="A55" s="8" t="s">
        <v>201</v>
      </c>
      <c r="B55" s="638"/>
      <c r="C55" s="639"/>
      <c r="D55" s="2"/>
      <c r="E55" s="355"/>
      <c r="F55" s="360"/>
      <c r="G55" s="20"/>
      <c r="H55" s="346"/>
      <c r="I55" s="357"/>
      <c r="J55" s="81"/>
      <c r="K55" s="358"/>
      <c r="L55" s="81"/>
      <c r="M55" s="357"/>
      <c r="N55" s="451"/>
      <c r="O55" s="472"/>
      <c r="P55" s="361"/>
    </row>
    <row r="56" spans="1:16" x14ac:dyDescent="0.2">
      <c r="A56" s="3" t="s">
        <v>424</v>
      </c>
      <c r="B56" s="634" t="s">
        <v>63</v>
      </c>
      <c r="C56" s="635" t="s">
        <v>63</v>
      </c>
      <c r="D56" s="350" t="s">
        <v>370</v>
      </c>
      <c r="E56" s="354">
        <f t="shared" ref="E56:E77" si="22">F56/H56</f>
        <v>0</v>
      </c>
      <c r="F56" s="684">
        <f>'Solvent Breakdown'!D163</f>
        <v>0</v>
      </c>
      <c r="G56" s="20">
        <f t="shared" ref="G56:G77" si="23">F56/1000</f>
        <v>0</v>
      </c>
      <c r="H56" s="346">
        <v>1.071</v>
      </c>
      <c r="I56" s="361">
        <v>0</v>
      </c>
      <c r="J56" s="282">
        <v>0</v>
      </c>
      <c r="K56" s="358">
        <v>0</v>
      </c>
      <c r="L56" s="21">
        <f t="shared" ref="L56:L73" si="24">E56/E$78</f>
        <v>0</v>
      </c>
      <c r="M56" s="366">
        <f t="shared" ref="M56:M77" si="25">F56/F$78</f>
        <v>0</v>
      </c>
      <c r="N56" s="449">
        <v>0</v>
      </c>
      <c r="O56" s="470">
        <f t="shared" ref="O56:O77" si="26">N56/1000</f>
        <v>0</v>
      </c>
      <c r="P56" s="361" t="s">
        <v>63</v>
      </c>
    </row>
    <row r="57" spans="1:16" x14ac:dyDescent="0.2">
      <c r="A57" s="26" t="s">
        <v>240</v>
      </c>
      <c r="B57" s="644" t="s">
        <v>610</v>
      </c>
      <c r="C57" s="645" t="s">
        <v>611</v>
      </c>
      <c r="D57" s="2" t="s">
        <v>420</v>
      </c>
      <c r="E57" s="354">
        <f t="shared" si="22"/>
        <v>6.3404896421845575E-2</v>
      </c>
      <c r="F57" s="684">
        <f>'Solvent Breakdown'!D232</f>
        <v>6.7336000000000007E-2</v>
      </c>
      <c r="G57" s="20">
        <f t="shared" si="23"/>
        <v>6.7336000000000007E-5</v>
      </c>
      <c r="H57" s="346">
        <v>1.0620000000000001</v>
      </c>
      <c r="I57" s="361">
        <v>0</v>
      </c>
      <c r="J57" s="282">
        <v>0</v>
      </c>
      <c r="K57" s="358">
        <v>0</v>
      </c>
      <c r="L57" s="21">
        <f t="shared" si="24"/>
        <v>1.8937869246420956E-6</v>
      </c>
      <c r="M57" s="366">
        <f t="shared" si="25"/>
        <v>2.4588767419072088E-6</v>
      </c>
      <c r="N57" s="449">
        <f>F57-0.07</f>
        <v>-2.6639999999999997E-3</v>
      </c>
      <c r="O57" s="470">
        <f t="shared" si="26"/>
        <v>-2.6639999999999998E-6</v>
      </c>
      <c r="P57" s="361">
        <f>N57/0.07</f>
        <v>-3.8057142857142852E-2</v>
      </c>
    </row>
    <row r="58" spans="1:16" x14ac:dyDescent="0.2">
      <c r="A58" s="3" t="s">
        <v>368</v>
      </c>
      <c r="B58" s="634" t="s">
        <v>63</v>
      </c>
      <c r="C58" s="635" t="s">
        <v>63</v>
      </c>
      <c r="D58" s="2" t="s">
        <v>369</v>
      </c>
      <c r="E58" s="354">
        <f t="shared" si="22"/>
        <v>0</v>
      </c>
      <c r="F58" s="684">
        <f>'Solvent Breakdown'!D162</f>
        <v>0</v>
      </c>
      <c r="G58" s="20">
        <f t="shared" si="23"/>
        <v>0</v>
      </c>
      <c r="H58" s="346">
        <v>0.99399999999999999</v>
      </c>
      <c r="I58" s="361">
        <v>0</v>
      </c>
      <c r="J58" s="282">
        <v>0</v>
      </c>
      <c r="K58" s="358">
        <v>0</v>
      </c>
      <c r="L58" s="21">
        <f t="shared" si="24"/>
        <v>0</v>
      </c>
      <c r="M58" s="366">
        <f t="shared" si="25"/>
        <v>0</v>
      </c>
      <c r="N58" s="449">
        <v>0</v>
      </c>
      <c r="O58" s="470">
        <f t="shared" si="26"/>
        <v>0</v>
      </c>
      <c r="P58" s="361" t="s">
        <v>63</v>
      </c>
    </row>
    <row r="59" spans="1:16" x14ac:dyDescent="0.2">
      <c r="A59" s="24" t="s">
        <v>413</v>
      </c>
      <c r="B59" s="640" t="s">
        <v>63</v>
      </c>
      <c r="C59" s="641" t="s">
        <v>63</v>
      </c>
      <c r="D59" s="2" t="s">
        <v>414</v>
      </c>
      <c r="E59" s="354">
        <f t="shared" si="22"/>
        <v>6.6745820689655169</v>
      </c>
      <c r="F59" s="684">
        <f>'Solvent Breakdown'!D138</f>
        <v>9.6781439999999996</v>
      </c>
      <c r="G59" s="20">
        <f t="shared" si="23"/>
        <v>9.6781439999999996E-3</v>
      </c>
      <c r="H59" s="346">
        <v>1.45</v>
      </c>
      <c r="I59" s="361">
        <v>0</v>
      </c>
      <c r="J59" s="282">
        <v>0</v>
      </c>
      <c r="K59" s="358">
        <v>0</v>
      </c>
      <c r="L59" s="21">
        <f t="shared" si="24"/>
        <v>1.9935741501033986E-4</v>
      </c>
      <c r="M59" s="366">
        <f t="shared" si="25"/>
        <v>3.5341218941470831E-4</v>
      </c>
      <c r="N59" s="449">
        <f>F59-6.18</f>
        <v>3.4981439999999999</v>
      </c>
      <c r="O59" s="470">
        <f t="shared" si="26"/>
        <v>3.4981439999999999E-3</v>
      </c>
      <c r="P59" s="361">
        <f>N59/6.18</f>
        <v>0.56604271844660192</v>
      </c>
    </row>
    <row r="60" spans="1:16" x14ac:dyDescent="0.2">
      <c r="A60" s="24" t="s">
        <v>415</v>
      </c>
      <c r="B60" s="634">
        <v>5</v>
      </c>
      <c r="C60" s="635" t="s">
        <v>609</v>
      </c>
      <c r="D60" s="350" t="s">
        <v>417</v>
      </c>
      <c r="E60" s="354">
        <f t="shared" si="22"/>
        <v>1566.8058936959208</v>
      </c>
      <c r="F60" s="650">
        <f>Comet!P22+'Solvent Breakdown'!D83+'Solvent Breakdown'!D90+'Solvent Breakdown'!D102+'Solvent Breakdown'!D114</f>
        <v>1267.5459679999999</v>
      </c>
      <c r="G60" s="20">
        <f t="shared" si="23"/>
        <v>1.2675459679999999</v>
      </c>
      <c r="H60" s="346">
        <v>0.80900000000000005</v>
      </c>
      <c r="I60" s="361">
        <v>0</v>
      </c>
      <c r="J60" s="282">
        <v>0</v>
      </c>
      <c r="K60" s="358">
        <v>0</v>
      </c>
      <c r="L60" s="21">
        <f t="shared" si="24"/>
        <v>4.6797592652658093E-2</v>
      </c>
      <c r="M60" s="366">
        <f t="shared" si="25"/>
        <v>4.6286374302207715E-2</v>
      </c>
      <c r="N60" s="449">
        <f>F60-287.8</f>
        <v>979.74596799999995</v>
      </c>
      <c r="O60" s="470">
        <f t="shared" si="26"/>
        <v>0.97974596799999991</v>
      </c>
      <c r="P60" s="361">
        <f>N60/287.8</f>
        <v>3.40425979152189</v>
      </c>
    </row>
    <row r="61" spans="1:16" x14ac:dyDescent="0.2">
      <c r="A61" s="24" t="s">
        <v>416</v>
      </c>
      <c r="B61" s="634">
        <v>5</v>
      </c>
      <c r="C61" s="635" t="s">
        <v>609</v>
      </c>
      <c r="D61" s="350" t="s">
        <v>418</v>
      </c>
      <c r="E61" s="354">
        <f t="shared" si="22"/>
        <v>2303.8106769225174</v>
      </c>
      <c r="F61" s="650">
        <f>'Solvent Breakdown'!D59+'Solvent Breakdown'!D81+'Solvent Breakdown'!D91+'Solvent Breakdown'!D103+'Solvent Breakdown'!D108</f>
        <v>1796.9723279995637</v>
      </c>
      <c r="G61" s="20">
        <f t="shared" si="23"/>
        <v>1.7969723279995637</v>
      </c>
      <c r="H61" s="346">
        <v>0.78</v>
      </c>
      <c r="I61" s="361">
        <v>0</v>
      </c>
      <c r="J61" s="282">
        <v>0</v>
      </c>
      <c r="K61" s="358">
        <v>0</v>
      </c>
      <c r="L61" s="21">
        <f t="shared" si="24"/>
        <v>6.8810561691943911E-2</v>
      </c>
      <c r="M61" s="366">
        <f t="shared" si="25"/>
        <v>6.5619185326853083E-2</v>
      </c>
      <c r="N61" s="449">
        <f>F61-684.41</f>
        <v>1112.5623279995639</v>
      </c>
      <c r="O61" s="470">
        <f t="shared" si="26"/>
        <v>1.1125623279995638</v>
      </c>
      <c r="P61" s="361">
        <f>N61/684.41</f>
        <v>1.6255787145125933</v>
      </c>
    </row>
    <row r="62" spans="1:16" x14ac:dyDescent="0.2">
      <c r="A62" s="3" t="s">
        <v>372</v>
      </c>
      <c r="B62" s="634" t="s">
        <v>63</v>
      </c>
      <c r="C62" s="635" t="s">
        <v>63</v>
      </c>
      <c r="D62" s="2" t="s">
        <v>371</v>
      </c>
      <c r="E62" s="354">
        <f t="shared" si="22"/>
        <v>0</v>
      </c>
      <c r="F62" s="684">
        <f>'Solvent Breakdown'!D164</f>
        <v>0</v>
      </c>
      <c r="G62" s="20">
        <f t="shared" si="23"/>
        <v>0</v>
      </c>
      <c r="H62" s="346">
        <v>0.995</v>
      </c>
      <c r="I62" s="361">
        <v>0</v>
      </c>
      <c r="J62" s="282">
        <v>0</v>
      </c>
      <c r="K62" s="358">
        <v>0</v>
      </c>
      <c r="L62" s="21">
        <f t="shared" si="24"/>
        <v>0</v>
      </c>
      <c r="M62" s="366">
        <f t="shared" si="25"/>
        <v>0</v>
      </c>
      <c r="N62" s="449">
        <v>0</v>
      </c>
      <c r="O62" s="470">
        <f t="shared" si="26"/>
        <v>0</v>
      </c>
      <c r="P62" s="361" t="s">
        <v>63</v>
      </c>
    </row>
    <row r="63" spans="1:16" x14ac:dyDescent="0.2">
      <c r="A63" s="25" t="s">
        <v>383</v>
      </c>
      <c r="B63" s="634" t="s">
        <v>612</v>
      </c>
      <c r="C63" s="635" t="s">
        <v>613</v>
      </c>
      <c r="D63" s="351" t="s">
        <v>384</v>
      </c>
      <c r="E63" s="354">
        <f t="shared" si="22"/>
        <v>0</v>
      </c>
      <c r="F63" s="684">
        <f>'Solvent Breakdown'!D281</f>
        <v>0</v>
      </c>
      <c r="G63" s="20">
        <f t="shared" si="23"/>
        <v>0</v>
      </c>
      <c r="H63" s="346">
        <v>0.90600000000000003</v>
      </c>
      <c r="I63" s="361">
        <v>0</v>
      </c>
      <c r="J63" s="282">
        <v>0</v>
      </c>
      <c r="K63" s="358">
        <v>0</v>
      </c>
      <c r="L63" s="21">
        <f t="shared" si="24"/>
        <v>0</v>
      </c>
      <c r="M63" s="366">
        <f t="shared" si="25"/>
        <v>0</v>
      </c>
      <c r="N63" s="449">
        <v>0</v>
      </c>
      <c r="O63" s="470">
        <f t="shared" si="26"/>
        <v>0</v>
      </c>
      <c r="P63" s="361" t="s">
        <v>63</v>
      </c>
    </row>
    <row r="64" spans="1:16" x14ac:dyDescent="0.2">
      <c r="A64" s="25" t="s">
        <v>387</v>
      </c>
      <c r="B64" s="34" t="s">
        <v>610</v>
      </c>
      <c r="C64" s="31" t="s">
        <v>611</v>
      </c>
      <c r="D64" s="2" t="s">
        <v>388</v>
      </c>
      <c r="E64" s="354">
        <f t="shared" si="22"/>
        <v>0</v>
      </c>
      <c r="F64" s="684">
        <f>'Solvent Breakdown'!D287</f>
        <v>0</v>
      </c>
      <c r="G64" s="20">
        <f t="shared" si="23"/>
        <v>0</v>
      </c>
      <c r="H64" s="346">
        <v>1.194</v>
      </c>
      <c r="I64" s="361">
        <v>0</v>
      </c>
      <c r="J64" s="282">
        <v>0</v>
      </c>
      <c r="K64" s="358">
        <v>0</v>
      </c>
      <c r="L64" s="21">
        <f t="shared" si="24"/>
        <v>0</v>
      </c>
      <c r="M64" s="366">
        <f t="shared" si="25"/>
        <v>0</v>
      </c>
      <c r="N64" s="449">
        <v>0</v>
      </c>
      <c r="O64" s="470">
        <f t="shared" si="26"/>
        <v>0</v>
      </c>
      <c r="P64" s="361" t="s">
        <v>63</v>
      </c>
    </row>
    <row r="65" spans="1:16" x14ac:dyDescent="0.2">
      <c r="A65" s="25" t="s">
        <v>425</v>
      </c>
      <c r="B65" s="34" t="s">
        <v>63</v>
      </c>
      <c r="C65" s="31" t="s">
        <v>63</v>
      </c>
      <c r="D65" s="2" t="s">
        <v>390</v>
      </c>
      <c r="E65" s="354">
        <f t="shared" si="22"/>
        <v>0</v>
      </c>
      <c r="F65" s="684">
        <f>'Solvent Breakdown'!D288</f>
        <v>0</v>
      </c>
      <c r="G65" s="20">
        <f t="shared" si="23"/>
        <v>0</v>
      </c>
      <c r="H65" s="346">
        <v>1.1299999999999999</v>
      </c>
      <c r="I65" s="361">
        <v>0</v>
      </c>
      <c r="J65" s="282">
        <v>0</v>
      </c>
      <c r="K65" s="358">
        <v>0</v>
      </c>
      <c r="L65" s="21">
        <f t="shared" si="24"/>
        <v>0</v>
      </c>
      <c r="M65" s="366">
        <f t="shared" si="25"/>
        <v>0</v>
      </c>
      <c r="N65" s="449">
        <v>0</v>
      </c>
      <c r="O65" s="470">
        <f t="shared" si="26"/>
        <v>0</v>
      </c>
      <c r="P65" s="361" t="s">
        <v>63</v>
      </c>
    </row>
    <row r="66" spans="1:16" x14ac:dyDescent="0.2">
      <c r="A66" s="3" t="s">
        <v>344</v>
      </c>
      <c r="B66" s="634" t="s">
        <v>63</v>
      </c>
      <c r="C66" s="635" t="s">
        <v>63</v>
      </c>
      <c r="D66" s="2" t="s">
        <v>343</v>
      </c>
      <c r="E66" s="354">
        <f t="shared" si="22"/>
        <v>0</v>
      </c>
      <c r="F66" s="679">
        <f>'Solvent Breakdown'!D271</f>
        <v>0</v>
      </c>
      <c r="G66" s="20">
        <f t="shared" si="23"/>
        <v>0</v>
      </c>
      <c r="H66" s="346">
        <v>1.157</v>
      </c>
      <c r="I66" s="361">
        <v>0</v>
      </c>
      <c r="J66" s="347">
        <v>0</v>
      </c>
      <c r="K66" s="358">
        <v>0</v>
      </c>
      <c r="L66" s="21">
        <f t="shared" si="24"/>
        <v>0</v>
      </c>
      <c r="M66" s="366">
        <f t="shared" si="25"/>
        <v>0</v>
      </c>
      <c r="N66" s="449">
        <v>0</v>
      </c>
      <c r="O66" s="470">
        <f t="shared" si="26"/>
        <v>0</v>
      </c>
      <c r="P66" s="361" t="s">
        <v>63</v>
      </c>
    </row>
    <row r="67" spans="1:16" x14ac:dyDescent="0.2">
      <c r="A67" s="26" t="s">
        <v>203</v>
      </c>
      <c r="B67" s="644" t="s">
        <v>63</v>
      </c>
      <c r="C67" s="645" t="s">
        <v>63</v>
      </c>
      <c r="D67" s="2" t="s">
        <v>204</v>
      </c>
      <c r="E67" s="354">
        <f t="shared" si="22"/>
        <v>3.8541000718393099</v>
      </c>
      <c r="F67" s="682">
        <f>'Solvent Breakdown'!D168+'Solvent Breakdown'!D192+'Solvent Breakdown'!D222+'Solvent Breakdown'!D231+'Solvent Breakdown'!D248</f>
        <v>4.4707560833335993</v>
      </c>
      <c r="G67" s="20">
        <f t="shared" si="23"/>
        <v>4.4707560833335989E-3</v>
      </c>
      <c r="H67" s="346">
        <v>1.1599999999999999</v>
      </c>
      <c r="I67" s="361">
        <v>0</v>
      </c>
      <c r="J67" s="347">
        <v>1</v>
      </c>
      <c r="K67" s="358">
        <v>0</v>
      </c>
      <c r="L67" s="21">
        <f t="shared" si="24"/>
        <v>1.1511483709003737E-4</v>
      </c>
      <c r="M67" s="366">
        <f t="shared" si="25"/>
        <v>1.6325647724915577E-4</v>
      </c>
      <c r="N67" s="449">
        <f>F67-4.5</f>
        <v>-2.9243916666400693E-2</v>
      </c>
      <c r="O67" s="470">
        <f t="shared" si="26"/>
        <v>-2.9243916666400695E-5</v>
      </c>
      <c r="P67" s="361">
        <f>N67/4.5</f>
        <v>-6.4986481480890429E-3</v>
      </c>
    </row>
    <row r="68" spans="1:16" x14ac:dyDescent="0.2">
      <c r="A68" s="26" t="s">
        <v>203</v>
      </c>
      <c r="B68" s="644" t="s">
        <v>63</v>
      </c>
      <c r="C68" s="645" t="s">
        <v>63</v>
      </c>
      <c r="D68" s="2" t="s">
        <v>279</v>
      </c>
      <c r="E68" s="354">
        <f t="shared" si="22"/>
        <v>8.8792767857142838</v>
      </c>
      <c r="F68" s="679">
        <f>'Solvent Breakdown'!D243</f>
        <v>9.9447899999999994</v>
      </c>
      <c r="G68" s="20">
        <f t="shared" si="23"/>
        <v>9.9447899999999985E-3</v>
      </c>
      <c r="H68" s="346">
        <v>1.1200000000000001</v>
      </c>
      <c r="I68" s="361">
        <v>0</v>
      </c>
      <c r="J68" s="347">
        <v>1</v>
      </c>
      <c r="K68" s="358">
        <v>0</v>
      </c>
      <c r="L68" s="21">
        <f t="shared" si="24"/>
        <v>2.6520756638709992E-4</v>
      </c>
      <c r="M68" s="366">
        <f t="shared" si="25"/>
        <v>3.6314917479730586E-4</v>
      </c>
      <c r="N68" s="449">
        <f>F68-0</f>
        <v>9.9447899999999994</v>
      </c>
      <c r="O68" s="470">
        <f t="shared" si="26"/>
        <v>9.9447899999999985E-3</v>
      </c>
      <c r="P68" s="361" t="s">
        <v>63</v>
      </c>
    </row>
    <row r="69" spans="1:16" x14ac:dyDescent="0.2">
      <c r="A69" s="3" t="s">
        <v>296</v>
      </c>
      <c r="B69" s="634" t="s">
        <v>63</v>
      </c>
      <c r="C69" s="635" t="s">
        <v>63</v>
      </c>
      <c r="D69" s="2" t="s">
        <v>278</v>
      </c>
      <c r="E69" s="354">
        <f t="shared" si="22"/>
        <v>2.660035525615384E-2</v>
      </c>
      <c r="F69" s="679">
        <f>'Solvent Breakdown'!D173+'Solvent Breakdown'!D242+'Solvent Breakdown'!D249</f>
        <v>2.7664369466399996E-2</v>
      </c>
      <c r="G69" s="20">
        <f t="shared" si="23"/>
        <v>2.7664369466399998E-5</v>
      </c>
      <c r="H69" s="346">
        <v>1.04</v>
      </c>
      <c r="I69" s="361">
        <v>0</v>
      </c>
      <c r="J69" s="347">
        <v>0</v>
      </c>
      <c r="K69" s="358">
        <v>0</v>
      </c>
      <c r="L69" s="21">
        <f t="shared" si="24"/>
        <v>7.945033872428565E-7</v>
      </c>
      <c r="M69" s="366">
        <f t="shared" si="25"/>
        <v>1.0102066451891839E-6</v>
      </c>
      <c r="N69" s="449">
        <v>0</v>
      </c>
      <c r="O69" s="470">
        <f t="shared" si="26"/>
        <v>0</v>
      </c>
      <c r="P69" s="361" t="s">
        <v>63</v>
      </c>
    </row>
    <row r="70" spans="1:16" x14ac:dyDescent="0.2">
      <c r="A70" s="3" t="s">
        <v>206</v>
      </c>
      <c r="B70" s="634" t="s">
        <v>63</v>
      </c>
      <c r="C70" s="635" t="s">
        <v>63</v>
      </c>
      <c r="D70" s="2" t="s">
        <v>207</v>
      </c>
      <c r="E70" s="354">
        <f t="shared" si="22"/>
        <v>38.656600000000005</v>
      </c>
      <c r="F70" s="682">
        <f>'Solvent Breakdown'!D185+'Solvent Breakdown'!D191+'Solvent Breakdown'!D196+'Solvent Breakdown'!D213+'Solvent Breakdown'!D219+'Solvent Breakdown'!D237+'Solvent Breakdown'!D241+'Solvent Breakdown'!D247+'Solvent Breakdown'!D254+'Solvent Breakdown'!D259+'Solvent Breakdown'!D275</f>
        <v>51.853963239999999</v>
      </c>
      <c r="G70" s="20">
        <f t="shared" si="23"/>
        <v>5.1853963240000002E-2</v>
      </c>
      <c r="H70" s="346">
        <v>1.3413999999999999</v>
      </c>
      <c r="I70" s="361">
        <v>0</v>
      </c>
      <c r="J70" s="347">
        <v>1</v>
      </c>
      <c r="K70" s="358">
        <v>0</v>
      </c>
      <c r="L70" s="21">
        <f t="shared" si="24"/>
        <v>1.154601107524193E-3</v>
      </c>
      <c r="M70" s="366">
        <f t="shared" si="25"/>
        <v>1.8935265561742212E-3</v>
      </c>
      <c r="N70" s="449">
        <f>F70-3.9</f>
        <v>47.95396324</v>
      </c>
      <c r="O70" s="470">
        <f t="shared" si="26"/>
        <v>4.7953963240000001E-2</v>
      </c>
      <c r="P70" s="361">
        <f>N70/3.9</f>
        <v>12.295888010256411</v>
      </c>
    </row>
    <row r="71" spans="1:16" x14ac:dyDescent="0.2">
      <c r="A71" s="3" t="s">
        <v>529</v>
      </c>
      <c r="B71" s="634" t="s">
        <v>63</v>
      </c>
      <c r="C71" s="635" t="s">
        <v>63</v>
      </c>
      <c r="D71" s="2" t="s">
        <v>512</v>
      </c>
      <c r="E71" s="354">
        <f t="shared" si="22"/>
        <v>66.068445205479449</v>
      </c>
      <c r="F71" s="679">
        <f>'Solvent Breakdown'!D125+'Solvent Breakdown'!D133</f>
        <v>57.875957999999997</v>
      </c>
      <c r="G71" s="20">
        <f t="shared" si="23"/>
        <v>5.7875957999999998E-2</v>
      </c>
      <c r="H71" s="346">
        <v>0.876</v>
      </c>
      <c r="I71" s="361">
        <v>0</v>
      </c>
      <c r="J71" s="347">
        <v>1</v>
      </c>
      <c r="K71" s="358">
        <v>0</v>
      </c>
      <c r="L71" s="21">
        <f t="shared" si="24"/>
        <v>1.97334219788207E-3</v>
      </c>
      <c r="M71" s="366">
        <f t="shared" si="25"/>
        <v>2.1134288796750391E-3</v>
      </c>
      <c r="N71" s="449">
        <f>F71-48.8</f>
        <v>9.075958</v>
      </c>
      <c r="O71" s="470">
        <f t="shared" si="26"/>
        <v>9.0759580000000003E-3</v>
      </c>
      <c r="P71" s="361">
        <f>N71/48.8</f>
        <v>0.18598274590163935</v>
      </c>
    </row>
    <row r="72" spans="1:16" x14ac:dyDescent="0.2">
      <c r="A72" s="3" t="s">
        <v>299</v>
      </c>
      <c r="B72" s="634" t="s">
        <v>610</v>
      </c>
      <c r="C72" s="635" t="s">
        <v>611</v>
      </c>
      <c r="D72" s="2" t="s">
        <v>294</v>
      </c>
      <c r="E72" s="354">
        <f t="shared" si="22"/>
        <v>1.4766890249999998E-2</v>
      </c>
      <c r="F72" s="679">
        <f>'Solvent Breakdown'!D172</f>
        <v>1.2758593175999998E-2</v>
      </c>
      <c r="G72" s="20">
        <f t="shared" si="23"/>
        <v>1.2758593175999998E-5</v>
      </c>
      <c r="H72" s="346">
        <v>0.86399999999999999</v>
      </c>
      <c r="I72" s="361">
        <v>0</v>
      </c>
      <c r="J72" s="347">
        <v>0</v>
      </c>
      <c r="K72" s="358">
        <v>0</v>
      </c>
      <c r="L72" s="21">
        <f t="shared" si="24"/>
        <v>4.4105968546996377E-7</v>
      </c>
      <c r="M72" s="366">
        <f t="shared" si="25"/>
        <v>4.6589948942500922E-7</v>
      </c>
      <c r="N72" s="449">
        <v>0</v>
      </c>
      <c r="O72" s="470">
        <f t="shared" si="26"/>
        <v>0</v>
      </c>
      <c r="P72" s="361" t="s">
        <v>63</v>
      </c>
    </row>
    <row r="73" spans="1:16" x14ac:dyDescent="0.2">
      <c r="A73" s="3" t="s">
        <v>300</v>
      </c>
      <c r="B73" s="634" t="s">
        <v>63</v>
      </c>
      <c r="C73" s="635" t="s">
        <v>63</v>
      </c>
      <c r="D73" s="2" t="s">
        <v>256</v>
      </c>
      <c r="E73" s="354">
        <f t="shared" si="22"/>
        <v>0.81617977528089891</v>
      </c>
      <c r="F73" s="679">
        <f>'Solvent Breakdown'!D297+'Solvent Breakdown'!D303</f>
        <v>0.72640000000000005</v>
      </c>
      <c r="G73" s="20">
        <f t="shared" si="23"/>
        <v>7.2640000000000009E-4</v>
      </c>
      <c r="H73" s="346">
        <v>0.89</v>
      </c>
      <c r="I73" s="361">
        <v>0</v>
      </c>
      <c r="J73" s="347">
        <v>0</v>
      </c>
      <c r="K73" s="358">
        <v>0</v>
      </c>
      <c r="L73" s="21">
        <f t="shared" si="24"/>
        <v>2.4377779537728944E-5</v>
      </c>
      <c r="M73" s="366">
        <f t="shared" si="25"/>
        <v>2.6525603916499295E-5</v>
      </c>
      <c r="N73" s="598">
        <f>F73-0.4</f>
        <v>0.32640000000000002</v>
      </c>
      <c r="O73" s="470">
        <f t="shared" si="26"/>
        <v>3.2640000000000002E-4</v>
      </c>
      <c r="P73" s="361">
        <f>N73/0.4</f>
        <v>0.81600000000000006</v>
      </c>
    </row>
    <row r="74" spans="1:16" x14ac:dyDescent="0.2">
      <c r="A74" s="3" t="s">
        <v>622</v>
      </c>
      <c r="B74" s="634"/>
      <c r="C74" s="635"/>
      <c r="D74" s="2" t="s">
        <v>346</v>
      </c>
      <c r="E74" s="354">
        <f t="shared" si="22"/>
        <v>0</v>
      </c>
      <c r="F74" s="679">
        <f>Comet!R22</f>
        <v>0</v>
      </c>
      <c r="G74" s="20">
        <f t="shared" si="23"/>
        <v>0</v>
      </c>
      <c r="H74" s="346">
        <v>0.94699999999999995</v>
      </c>
      <c r="I74" s="361">
        <v>0</v>
      </c>
      <c r="J74" s="347">
        <v>0</v>
      </c>
      <c r="K74" s="358">
        <v>0</v>
      </c>
      <c r="L74" s="21">
        <f t="shared" ref="L74" si="27">E74/E$78</f>
        <v>0</v>
      </c>
      <c r="M74" s="366">
        <f t="shared" ref="M74" si="28">F74/F$78</f>
        <v>0</v>
      </c>
      <c r="N74" s="598">
        <f>F74-0.4</f>
        <v>-0.4</v>
      </c>
      <c r="O74" s="470">
        <f t="shared" ref="O74" si="29">N74/1000</f>
        <v>-4.0000000000000002E-4</v>
      </c>
      <c r="P74" s="361">
        <f>N74/0.4</f>
        <v>-1</v>
      </c>
    </row>
    <row r="75" spans="1:16" x14ac:dyDescent="0.2">
      <c r="A75" s="3" t="s">
        <v>623</v>
      </c>
      <c r="B75" s="634"/>
      <c r="C75" s="635"/>
      <c r="D75" s="2" t="s">
        <v>624</v>
      </c>
      <c r="E75" s="354"/>
      <c r="F75" s="679">
        <f>Comet!U22</f>
        <v>0</v>
      </c>
      <c r="G75" s="20">
        <f t="shared" si="23"/>
        <v>0</v>
      </c>
      <c r="H75" s="346">
        <v>1.335</v>
      </c>
      <c r="I75" s="361">
        <v>0</v>
      </c>
      <c r="J75" s="347">
        <v>0</v>
      </c>
      <c r="K75" s="358">
        <v>0</v>
      </c>
      <c r="L75" s="21">
        <f t="shared" ref="L75" si="30">E75/E$78</f>
        <v>0</v>
      </c>
      <c r="M75" s="366">
        <f t="shared" ref="M75" si="31">F75/F$78</f>
        <v>0</v>
      </c>
      <c r="N75" s="598">
        <f>F75-0.4</f>
        <v>-0.4</v>
      </c>
      <c r="O75" s="470">
        <f t="shared" ref="O75" si="32">N75/1000</f>
        <v>-4.0000000000000002E-4</v>
      </c>
      <c r="P75" s="361">
        <f>N75/0.4</f>
        <v>-1</v>
      </c>
    </row>
    <row r="76" spans="1:16" x14ac:dyDescent="0.2">
      <c r="A76" s="3" t="s">
        <v>565</v>
      </c>
      <c r="B76" s="634" t="s">
        <v>610</v>
      </c>
      <c r="C76" s="635" t="s">
        <v>611</v>
      </c>
      <c r="D76" s="2" t="s">
        <v>554</v>
      </c>
      <c r="E76" s="354">
        <f t="shared" si="22"/>
        <v>15.229972602739723</v>
      </c>
      <c r="F76" s="679">
        <f>'Solvent Breakdown'!D148</f>
        <v>11.117879999999998</v>
      </c>
      <c r="G76" s="20">
        <f t="shared" si="23"/>
        <v>1.1117879999999998E-2</v>
      </c>
      <c r="H76" s="346">
        <v>0.73</v>
      </c>
      <c r="I76" s="361">
        <v>0</v>
      </c>
      <c r="J76" s="347">
        <v>0</v>
      </c>
      <c r="K76" s="358">
        <v>0</v>
      </c>
      <c r="L76" s="21">
        <f>E76/E$78</f>
        <v>4.548910984071646E-4</v>
      </c>
      <c r="M76" s="366">
        <f t="shared" si="25"/>
        <v>4.0598634536229226E-4</v>
      </c>
      <c r="N76" s="449">
        <f>F76-0</f>
        <v>11.117879999999998</v>
      </c>
      <c r="O76" s="470">
        <f t="shared" ref="O76" si="33">N76/1000</f>
        <v>1.1117879999999998E-2</v>
      </c>
      <c r="P76" s="361" t="s">
        <v>63</v>
      </c>
    </row>
    <row r="77" spans="1:16" ht="13.5" thickBot="1" x14ac:dyDescent="0.25">
      <c r="A77" s="3" t="s">
        <v>213</v>
      </c>
      <c r="B77" s="634" t="s">
        <v>612</v>
      </c>
      <c r="C77" s="635" t="s">
        <v>613</v>
      </c>
      <c r="D77" s="2" t="s">
        <v>214</v>
      </c>
      <c r="E77" s="354">
        <f t="shared" si="22"/>
        <v>21.163062328767118</v>
      </c>
      <c r="F77" s="682">
        <f>'Solvent Breakdown'!D12++'Solvent Breakdown'!D76</f>
        <v>23.173553249999994</v>
      </c>
      <c r="G77" s="20">
        <f t="shared" si="23"/>
        <v>2.3173553249999992E-2</v>
      </c>
      <c r="H77" s="346">
        <v>1.095</v>
      </c>
      <c r="I77" s="361">
        <v>0</v>
      </c>
      <c r="J77" s="282">
        <v>1</v>
      </c>
      <c r="K77" s="358">
        <v>0</v>
      </c>
      <c r="L77" s="21">
        <f>E77/E$78</f>
        <v>6.321015092739154E-4</v>
      </c>
      <c r="M77" s="366">
        <f t="shared" si="25"/>
        <v>8.4621764158508369E-4</v>
      </c>
      <c r="N77" s="452">
        <f>F77-23.6</f>
        <v>-0.42644675000000731</v>
      </c>
      <c r="O77" s="470">
        <f t="shared" si="26"/>
        <v>-4.2644675000000733E-4</v>
      </c>
      <c r="P77" s="364">
        <f>N77/23.6</f>
        <v>-1.806977754237319E-2</v>
      </c>
    </row>
    <row r="78" spans="1:16" s="134" customFormat="1" ht="16.5" thickBot="1" x14ac:dyDescent="0.3">
      <c r="A78" s="144" t="s">
        <v>215</v>
      </c>
      <c r="B78" s="646"/>
      <c r="C78" s="147"/>
      <c r="D78" s="627"/>
      <c r="E78" s="145">
        <f>SUM(E7:E77)-E13-E54</f>
        <v>33480.480616280729</v>
      </c>
      <c r="F78" s="469">
        <f>SUM(F7:F77)-F13-F54</f>
        <v>27384.861897457842</v>
      </c>
      <c r="G78" s="445">
        <f>SUM(G7:G77)-G13-G54</f>
        <v>27.384861897457839</v>
      </c>
      <c r="H78" s="147"/>
      <c r="I78" s="146"/>
      <c r="J78" s="147"/>
      <c r="K78" s="146"/>
      <c r="L78" s="447">
        <f>SUM(L6:L77)-L13</f>
        <v>1</v>
      </c>
      <c r="M78" s="447">
        <f>SUM(M6:M77)-M13</f>
        <v>0.99999999999999978</v>
      </c>
      <c r="N78" s="453">
        <f>SUM(N6:N77)-N13-N54</f>
        <v>-4503.9342149536233</v>
      </c>
      <c r="O78" s="478">
        <f>SUM(O6:O77)-O13-O54</f>
        <v>-4.5039342149536239</v>
      </c>
      <c r="P78" s="476">
        <f>N78/31887</f>
        <v>-0.14124672170331556</v>
      </c>
    </row>
    <row r="79" spans="1:16" x14ac:dyDescent="0.2">
      <c r="B79" s="647"/>
      <c r="C79" s="647"/>
      <c r="F79" s="87"/>
    </row>
    <row r="80" spans="1:16" x14ac:dyDescent="0.2">
      <c r="B80" s="647"/>
      <c r="C80" s="647"/>
      <c r="F80" s="87"/>
    </row>
    <row r="81" spans="2:6" x14ac:dyDescent="0.2">
      <c r="B81" s="647"/>
      <c r="C81" s="647"/>
      <c r="F81" s="87"/>
    </row>
    <row r="82" spans="2:6" x14ac:dyDescent="0.2">
      <c r="B82" s="647"/>
      <c r="C82" s="647"/>
      <c r="F82" s="87"/>
    </row>
    <row r="83" spans="2:6" x14ac:dyDescent="0.2">
      <c r="B83" s="647"/>
      <c r="C83" s="647"/>
      <c r="F83" s="87"/>
    </row>
    <row r="84" spans="2:6" x14ac:dyDescent="0.2">
      <c r="B84" s="647"/>
      <c r="C84" s="647"/>
      <c r="F84" s="87"/>
    </row>
    <row r="85" spans="2:6" x14ac:dyDescent="0.2">
      <c r="B85" s="647"/>
      <c r="C85" s="647"/>
      <c r="F85" s="87"/>
    </row>
    <row r="86" spans="2:6" x14ac:dyDescent="0.2">
      <c r="B86" s="647"/>
      <c r="C86" s="647"/>
      <c r="F86" s="87"/>
    </row>
    <row r="87" spans="2:6" x14ac:dyDescent="0.2">
      <c r="B87" s="647"/>
      <c r="C87" s="647"/>
      <c r="F87" s="87"/>
    </row>
    <row r="88" spans="2:6" x14ac:dyDescent="0.2">
      <c r="B88" s="647"/>
      <c r="C88" s="647"/>
      <c r="F88" s="87"/>
    </row>
    <row r="89" spans="2:6" x14ac:dyDescent="0.2">
      <c r="B89" s="647"/>
      <c r="C89" s="647"/>
      <c r="F89" s="87"/>
    </row>
    <row r="90" spans="2:6" x14ac:dyDescent="0.2">
      <c r="B90" s="647"/>
      <c r="C90" s="647"/>
      <c r="F90" s="87"/>
    </row>
    <row r="91" spans="2:6" x14ac:dyDescent="0.2">
      <c r="B91" s="647"/>
      <c r="C91" s="647"/>
      <c r="F91" s="87"/>
    </row>
    <row r="92" spans="2:6" x14ac:dyDescent="0.2">
      <c r="B92" s="647"/>
      <c r="C92" s="647"/>
      <c r="F92" s="87"/>
    </row>
    <row r="93" spans="2:6" x14ac:dyDescent="0.2">
      <c r="B93" s="647"/>
      <c r="C93" s="647"/>
      <c r="F93" s="87"/>
    </row>
    <row r="94" spans="2:6" x14ac:dyDescent="0.2">
      <c r="B94" s="647"/>
      <c r="C94" s="647"/>
      <c r="F94" s="87"/>
    </row>
    <row r="95" spans="2:6" x14ac:dyDescent="0.2">
      <c r="B95" s="647"/>
      <c r="C95" s="647"/>
      <c r="F95" s="87"/>
    </row>
    <row r="96" spans="2:6" x14ac:dyDescent="0.2">
      <c r="B96" s="647"/>
      <c r="C96" s="647"/>
      <c r="F96" s="87"/>
    </row>
    <row r="97" spans="2:6" x14ac:dyDescent="0.2">
      <c r="B97" s="647"/>
      <c r="C97" s="647"/>
      <c r="F97" s="87"/>
    </row>
    <row r="98" spans="2:6" x14ac:dyDescent="0.2">
      <c r="B98" s="647"/>
      <c r="C98" s="647"/>
      <c r="F98" s="87"/>
    </row>
    <row r="99" spans="2:6" x14ac:dyDescent="0.2">
      <c r="B99" s="647"/>
      <c r="C99" s="647"/>
      <c r="F99" s="87"/>
    </row>
    <row r="100" spans="2:6" x14ac:dyDescent="0.2">
      <c r="B100" s="647"/>
      <c r="C100" s="647"/>
      <c r="F100" s="87"/>
    </row>
    <row r="101" spans="2:6" x14ac:dyDescent="0.2">
      <c r="B101" s="647"/>
      <c r="C101" s="647"/>
      <c r="F101" s="87"/>
    </row>
    <row r="102" spans="2:6" x14ac:dyDescent="0.2">
      <c r="B102" s="647"/>
      <c r="C102" s="647"/>
      <c r="F102" s="87"/>
    </row>
    <row r="103" spans="2:6" x14ac:dyDescent="0.2">
      <c r="B103" s="647"/>
      <c r="C103" s="647"/>
      <c r="F103" s="87"/>
    </row>
    <row r="104" spans="2:6" x14ac:dyDescent="0.2">
      <c r="B104" s="647"/>
      <c r="C104" s="647"/>
      <c r="F104" s="87"/>
    </row>
    <row r="105" spans="2:6" x14ac:dyDescent="0.2">
      <c r="B105" s="647"/>
      <c r="C105" s="647"/>
      <c r="F105" s="87"/>
    </row>
    <row r="106" spans="2:6" x14ac:dyDescent="0.2">
      <c r="B106" s="647"/>
      <c r="C106" s="647"/>
      <c r="F106" s="87"/>
    </row>
    <row r="107" spans="2:6" x14ac:dyDescent="0.2">
      <c r="B107" s="647"/>
      <c r="C107" s="647"/>
      <c r="F107" s="87"/>
    </row>
    <row r="108" spans="2:6" x14ac:dyDescent="0.2">
      <c r="B108" s="647"/>
      <c r="C108" s="647"/>
      <c r="F108" s="87"/>
    </row>
    <row r="109" spans="2:6" x14ac:dyDescent="0.2">
      <c r="B109" s="647"/>
      <c r="C109" s="647"/>
      <c r="F109" s="87"/>
    </row>
    <row r="110" spans="2:6" x14ac:dyDescent="0.2">
      <c r="B110" s="647"/>
      <c r="C110" s="647"/>
      <c r="F110" s="87"/>
    </row>
    <row r="111" spans="2:6" x14ac:dyDescent="0.2">
      <c r="B111" s="647"/>
      <c r="C111" s="647"/>
      <c r="F111" s="87"/>
    </row>
    <row r="112" spans="2:6" x14ac:dyDescent="0.2">
      <c r="B112" s="647"/>
      <c r="C112" s="647"/>
      <c r="F112" s="87"/>
    </row>
    <row r="113" spans="2:6" x14ac:dyDescent="0.2">
      <c r="B113" s="647"/>
      <c r="C113" s="647"/>
      <c r="F113" s="87"/>
    </row>
    <row r="114" spans="2:6" x14ac:dyDescent="0.2">
      <c r="B114" s="647"/>
      <c r="C114" s="647"/>
      <c r="F114" s="87"/>
    </row>
    <row r="115" spans="2:6" x14ac:dyDescent="0.2">
      <c r="B115" s="647"/>
      <c r="C115" s="647"/>
      <c r="F115" s="87"/>
    </row>
    <row r="116" spans="2:6" x14ac:dyDescent="0.2">
      <c r="B116" s="647"/>
      <c r="C116" s="647"/>
      <c r="F116" s="87"/>
    </row>
    <row r="117" spans="2:6" x14ac:dyDescent="0.2">
      <c r="B117" s="647"/>
      <c r="C117" s="647"/>
      <c r="F117" s="87"/>
    </row>
    <row r="118" spans="2:6" x14ac:dyDescent="0.2">
      <c r="F118" s="87"/>
    </row>
    <row r="119" spans="2:6" x14ac:dyDescent="0.2">
      <c r="F119" s="87"/>
    </row>
    <row r="120" spans="2:6" x14ac:dyDescent="0.2">
      <c r="F120" s="87"/>
    </row>
    <row r="121" spans="2:6" x14ac:dyDescent="0.2">
      <c r="F121" s="87"/>
    </row>
    <row r="122" spans="2:6" x14ac:dyDescent="0.2">
      <c r="F122" s="87"/>
    </row>
    <row r="123" spans="2:6" x14ac:dyDescent="0.2">
      <c r="F123" s="87"/>
    </row>
    <row r="124" spans="2:6" x14ac:dyDescent="0.2">
      <c r="F124" s="87"/>
    </row>
    <row r="125" spans="2:6" x14ac:dyDescent="0.2">
      <c r="F125" s="87"/>
    </row>
    <row r="126" spans="2:6" x14ac:dyDescent="0.2">
      <c r="F126" s="87"/>
    </row>
    <row r="127" spans="2:6" x14ac:dyDescent="0.2">
      <c r="F127" s="87"/>
    </row>
    <row r="128" spans="2:6" x14ac:dyDescent="0.2">
      <c r="F128" s="87"/>
    </row>
    <row r="129" spans="6:6" x14ac:dyDescent="0.2">
      <c r="F129" s="87"/>
    </row>
    <row r="130" spans="6:6" x14ac:dyDescent="0.2">
      <c r="F130" s="87"/>
    </row>
    <row r="131" spans="6:6" x14ac:dyDescent="0.2">
      <c r="F131" s="87"/>
    </row>
    <row r="132" spans="6:6" x14ac:dyDescent="0.2">
      <c r="F132" s="87"/>
    </row>
    <row r="133" spans="6:6" x14ac:dyDescent="0.2">
      <c r="F133" s="87"/>
    </row>
    <row r="134" spans="6:6" x14ac:dyDescent="0.2">
      <c r="F134" s="87"/>
    </row>
    <row r="135" spans="6:6" x14ac:dyDescent="0.2">
      <c r="F135" s="87"/>
    </row>
    <row r="136" spans="6:6" x14ac:dyDescent="0.2">
      <c r="F136" s="87"/>
    </row>
    <row r="137" spans="6:6" x14ac:dyDescent="0.2">
      <c r="F137" s="87"/>
    </row>
    <row r="138" spans="6:6" x14ac:dyDescent="0.2">
      <c r="F138" s="87"/>
    </row>
    <row r="139" spans="6:6" x14ac:dyDescent="0.2">
      <c r="F139" s="87"/>
    </row>
    <row r="140" spans="6:6" x14ac:dyDescent="0.2">
      <c r="F140" s="87"/>
    </row>
    <row r="141" spans="6:6" x14ac:dyDescent="0.2">
      <c r="F141" s="87"/>
    </row>
    <row r="142" spans="6:6" x14ac:dyDescent="0.2">
      <c r="F142" s="87"/>
    </row>
  </sheetData>
  <mergeCells count="3">
    <mergeCell ref="L3:M3"/>
    <mergeCell ref="N3:O3"/>
    <mergeCell ref="N1:P1"/>
  </mergeCells>
  <pageMargins left="0.45" right="0.45" top="0.25" bottom="0.2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Normal="100" workbookViewId="0">
      <selection activeCell="B4" sqref="B4:B56"/>
    </sheetView>
  </sheetViews>
  <sheetFormatPr defaultColWidth="10.85546875" defaultRowHeight="12.75" x14ac:dyDescent="0.2"/>
  <cols>
    <col min="1" max="1" width="39" style="132" customWidth="1"/>
    <col min="2" max="2" width="11.140625" style="129" bestFit="1" customWidth="1"/>
    <col min="3" max="3" width="11.5703125" style="135" customWidth="1"/>
    <col min="4" max="4" width="13" style="136" customWidth="1"/>
    <col min="5" max="5" width="11.85546875" style="132" customWidth="1"/>
    <col min="6" max="6" width="11.28515625" style="130" customWidth="1"/>
    <col min="7" max="16384" width="10.85546875" style="129"/>
  </cols>
  <sheetData>
    <row r="1" spans="1:10" x14ac:dyDescent="0.2">
      <c r="A1" s="718" t="s">
        <v>569</v>
      </c>
      <c r="B1" s="718"/>
      <c r="C1" s="718"/>
      <c r="D1" s="718"/>
      <c r="E1" s="718"/>
      <c r="F1" s="718"/>
    </row>
    <row r="2" spans="1:10" ht="20.25" customHeight="1" thickBot="1" x14ac:dyDescent="0.25">
      <c r="A2" s="718" t="s">
        <v>520</v>
      </c>
      <c r="B2" s="718"/>
      <c r="C2" s="718"/>
      <c r="D2" s="718"/>
      <c r="E2" s="718"/>
      <c r="F2" s="718"/>
    </row>
    <row r="3" spans="1:10" ht="36.75" thickBot="1" x14ac:dyDescent="0.25">
      <c r="A3" s="342" t="s">
        <v>117</v>
      </c>
      <c r="B3" s="343" t="s">
        <v>521</v>
      </c>
      <c r="C3" s="344" t="s">
        <v>522</v>
      </c>
      <c r="D3" s="341" t="s">
        <v>523</v>
      </c>
      <c r="E3" s="344" t="s">
        <v>522</v>
      </c>
      <c r="F3" s="341" t="s">
        <v>523</v>
      </c>
      <c r="G3" s="327"/>
      <c r="H3" s="326"/>
      <c r="I3" s="326"/>
      <c r="J3" s="326"/>
    </row>
    <row r="4" spans="1:10" x14ac:dyDescent="0.2">
      <c r="A4" s="96" t="s">
        <v>92</v>
      </c>
      <c r="B4" s="600">
        <f>'Solvent Breakdown'!D7</f>
        <v>201.10713479999998</v>
      </c>
      <c r="C4" s="333">
        <v>0.97</v>
      </c>
      <c r="D4" s="331">
        <f>B4*(1-C4)</f>
        <v>6.0332140440000046</v>
      </c>
      <c r="E4" s="335">
        <v>0.95</v>
      </c>
      <c r="F4" s="328">
        <f>B4*(1-E4)</f>
        <v>10.055356740000008</v>
      </c>
      <c r="G4" s="324"/>
    </row>
    <row r="5" spans="1:10" s="130" customFormat="1" x14ac:dyDescent="0.2">
      <c r="A5" s="25" t="s">
        <v>270</v>
      </c>
      <c r="B5" s="330">
        <f>'Solvent Breakdown'!D15</f>
        <v>0</v>
      </c>
      <c r="C5" s="334">
        <v>0.97</v>
      </c>
      <c r="D5" s="332">
        <f t="shared" ref="D5:D47" si="0">B5*(1-C5)</f>
        <v>0</v>
      </c>
      <c r="E5" s="336">
        <v>0.95</v>
      </c>
      <c r="F5" s="329">
        <f t="shared" ref="F5:F46" si="1">B5*(1-E5)</f>
        <v>0</v>
      </c>
      <c r="G5" s="324"/>
    </row>
    <row r="6" spans="1:10" s="130" customFormat="1" x14ac:dyDescent="0.2">
      <c r="A6" s="25" t="s">
        <v>170</v>
      </c>
      <c r="B6" s="330">
        <f>'Solvent Breakdown'!D21</f>
        <v>0</v>
      </c>
      <c r="C6" s="334">
        <v>0.97</v>
      </c>
      <c r="D6" s="332">
        <f t="shared" si="0"/>
        <v>0</v>
      </c>
      <c r="E6" s="336">
        <v>0.95</v>
      </c>
      <c r="F6" s="329">
        <f t="shared" si="1"/>
        <v>0</v>
      </c>
    </row>
    <row r="7" spans="1:10" s="130" customFormat="1" x14ac:dyDescent="0.2">
      <c r="A7" s="25" t="s">
        <v>327</v>
      </c>
      <c r="B7" s="330">
        <f>'Solvent Breakdown'!D28</f>
        <v>0</v>
      </c>
      <c r="C7" s="334">
        <v>0.97</v>
      </c>
      <c r="D7" s="332">
        <f t="shared" si="0"/>
        <v>0</v>
      </c>
      <c r="E7" s="336">
        <v>0.95</v>
      </c>
      <c r="F7" s="329">
        <f t="shared" si="1"/>
        <v>0</v>
      </c>
    </row>
    <row r="8" spans="1:10" s="130" customFormat="1" x14ac:dyDescent="0.2">
      <c r="A8" s="25" t="s">
        <v>196</v>
      </c>
      <c r="B8" s="330">
        <f>'Solvent Breakdown'!D35</f>
        <v>0</v>
      </c>
      <c r="C8" s="334">
        <v>0.97</v>
      </c>
      <c r="D8" s="332">
        <f t="shared" si="0"/>
        <v>0</v>
      </c>
      <c r="E8" s="336">
        <v>0.95</v>
      </c>
      <c r="F8" s="329">
        <f t="shared" si="1"/>
        <v>0</v>
      </c>
    </row>
    <row r="9" spans="1:10" s="130" customFormat="1" x14ac:dyDescent="0.2">
      <c r="A9" s="25" t="s">
        <v>200</v>
      </c>
      <c r="B9" s="330">
        <f>'Solvent Breakdown'!D40</f>
        <v>0</v>
      </c>
      <c r="C9" s="334">
        <v>0.97</v>
      </c>
      <c r="D9" s="332">
        <f t="shared" si="0"/>
        <v>0</v>
      </c>
      <c r="E9" s="336">
        <v>0.95</v>
      </c>
      <c r="F9" s="329">
        <f t="shared" si="1"/>
        <v>0</v>
      </c>
    </row>
    <row r="10" spans="1:10" x14ac:dyDescent="0.2">
      <c r="A10" s="25" t="s">
        <v>140</v>
      </c>
      <c r="B10" s="330">
        <f>'Solvent Breakdown'!D47</f>
        <v>0</v>
      </c>
      <c r="C10" s="334">
        <v>0.97</v>
      </c>
      <c r="D10" s="332">
        <f t="shared" si="0"/>
        <v>0</v>
      </c>
      <c r="E10" s="336">
        <v>0.95</v>
      </c>
      <c r="F10" s="329">
        <f t="shared" si="1"/>
        <v>0</v>
      </c>
    </row>
    <row r="11" spans="1:10" x14ac:dyDescent="0.2">
      <c r="A11" s="25" t="s">
        <v>141</v>
      </c>
      <c r="B11" s="330">
        <f>'Solvent Breakdown'!D56</f>
        <v>543.31563670516368</v>
      </c>
      <c r="C11" s="334">
        <v>0.97</v>
      </c>
      <c r="D11" s="332">
        <f t="shared" si="0"/>
        <v>16.299469101154926</v>
      </c>
      <c r="E11" s="336">
        <v>0.95</v>
      </c>
      <c r="F11" s="329">
        <f t="shared" si="1"/>
        <v>27.165781835258208</v>
      </c>
    </row>
    <row r="12" spans="1:10" x14ac:dyDescent="0.2">
      <c r="A12" s="25" t="s">
        <v>534</v>
      </c>
      <c r="B12" s="330">
        <f>'Solvent Breakdown'!D62</f>
        <v>555.62189760000001</v>
      </c>
      <c r="C12" s="334">
        <v>0.97</v>
      </c>
      <c r="D12" s="332">
        <f t="shared" ref="D12:D13" si="2">B12*(1-C12)</f>
        <v>16.668656928000015</v>
      </c>
      <c r="E12" s="336">
        <v>0.95</v>
      </c>
      <c r="F12" s="329">
        <f t="shared" ref="F12:F13" si="3">B12*(1-E12)</f>
        <v>27.781094880000026</v>
      </c>
    </row>
    <row r="13" spans="1:10" x14ac:dyDescent="0.2">
      <c r="A13" s="25" t="s">
        <v>434</v>
      </c>
      <c r="B13" s="330">
        <f>'Solvent Breakdown'!D70</f>
        <v>1692.0443767499996</v>
      </c>
      <c r="C13" s="334">
        <v>0.97</v>
      </c>
      <c r="D13" s="332">
        <f t="shared" si="2"/>
        <v>50.761331302500032</v>
      </c>
      <c r="E13" s="336">
        <v>0.95</v>
      </c>
      <c r="F13" s="329">
        <f t="shared" si="3"/>
        <v>84.602218837500061</v>
      </c>
    </row>
    <row r="14" spans="1:10" x14ac:dyDescent="0.2">
      <c r="A14" s="25">
        <v>3090</v>
      </c>
      <c r="B14" s="330">
        <f>'Solvent Breakdown'!D79</f>
        <v>286.35036840000009</v>
      </c>
      <c r="C14" s="334">
        <v>0.97</v>
      </c>
      <c r="D14" s="332">
        <f t="shared" ref="D14" si="4">B14*(1-C14)</f>
        <v>8.5905110520000107</v>
      </c>
      <c r="E14" s="336">
        <v>0.95</v>
      </c>
      <c r="F14" s="329">
        <f t="shared" ref="F14" si="5">B14*(1-E14)</f>
        <v>14.317518420000017</v>
      </c>
    </row>
    <row r="15" spans="1:10" x14ac:dyDescent="0.2">
      <c r="A15" s="25" t="s">
        <v>533</v>
      </c>
      <c r="B15" s="330">
        <f>'Solvent Breakdown'!D89</f>
        <v>542.18194799999981</v>
      </c>
      <c r="C15" s="334">
        <v>0.97</v>
      </c>
      <c r="D15" s="332">
        <f t="shared" ref="D15" si="6">B15*(1-C15)</f>
        <v>16.26545844000001</v>
      </c>
      <c r="E15" s="336">
        <v>0.95</v>
      </c>
      <c r="F15" s="329">
        <f t="shared" ref="F15" si="7">B15*(1-E15)</f>
        <v>27.109097400000014</v>
      </c>
    </row>
    <row r="16" spans="1:10" x14ac:dyDescent="0.2">
      <c r="A16" s="25" t="s">
        <v>315</v>
      </c>
      <c r="B16" s="330">
        <f>'Solvent Breakdown'!D99</f>
        <v>0</v>
      </c>
      <c r="C16" s="334">
        <v>0.97</v>
      </c>
      <c r="D16" s="332">
        <f t="shared" ref="D16" si="8">B16*(1-C16)</f>
        <v>0</v>
      </c>
      <c r="E16" s="336">
        <v>0.95</v>
      </c>
      <c r="F16" s="329">
        <f t="shared" ref="F16" si="9">B16*(1-E16)</f>
        <v>0</v>
      </c>
    </row>
    <row r="17" spans="1:6" x14ac:dyDescent="0.2">
      <c r="A17" s="25" t="s">
        <v>550</v>
      </c>
      <c r="B17" s="330">
        <f>'Solvent Breakdown'!D100</f>
        <v>0</v>
      </c>
      <c r="C17" s="334">
        <v>0.97</v>
      </c>
      <c r="D17" s="332">
        <f t="shared" ref="D17:D18" si="10">B17*(1-C17)</f>
        <v>0</v>
      </c>
      <c r="E17" s="336">
        <v>0.95</v>
      </c>
      <c r="F17" s="329">
        <f t="shared" ref="F17:F18" si="11">B17*(1-E17)</f>
        <v>0</v>
      </c>
    </row>
    <row r="18" spans="1:6" x14ac:dyDescent="0.2">
      <c r="A18" s="25">
        <v>3141</v>
      </c>
      <c r="B18" s="330">
        <f>'Solvent Breakdown'!D118</f>
        <v>459.02165399999996</v>
      </c>
      <c r="C18" s="334">
        <v>0.97</v>
      </c>
      <c r="D18" s="332">
        <f t="shared" si="10"/>
        <v>13.770649620000011</v>
      </c>
      <c r="E18" s="336">
        <v>0.95</v>
      </c>
      <c r="F18" s="329">
        <f t="shared" si="11"/>
        <v>22.951082700000018</v>
      </c>
    </row>
    <row r="19" spans="1:6" x14ac:dyDescent="0.2">
      <c r="A19" s="25" t="s">
        <v>508</v>
      </c>
      <c r="B19" s="330">
        <f>'Solvent Breakdown'!D129</f>
        <v>16.924949999999967</v>
      </c>
      <c r="C19" s="334">
        <v>0.97</v>
      </c>
      <c r="D19" s="332">
        <f t="shared" si="0"/>
        <v>0.50774849999999949</v>
      </c>
      <c r="E19" s="336">
        <v>0.95</v>
      </c>
      <c r="F19" s="329">
        <f t="shared" si="1"/>
        <v>0.84624749999999915</v>
      </c>
    </row>
    <row r="20" spans="1:6" x14ac:dyDescent="0.2">
      <c r="A20" s="25">
        <v>7604</v>
      </c>
      <c r="B20" s="330">
        <v>0</v>
      </c>
      <c r="C20" s="334">
        <v>0.97</v>
      </c>
      <c r="D20" s="332">
        <f t="shared" ref="D20" si="12">B20*(1-C20)</f>
        <v>0</v>
      </c>
      <c r="E20" s="336">
        <v>0.95</v>
      </c>
      <c r="F20" s="329">
        <f t="shared" ref="F20" si="13">B20*(1-E20)</f>
        <v>0</v>
      </c>
    </row>
    <row r="21" spans="1:6" x14ac:dyDescent="0.2">
      <c r="A21" s="25" t="s">
        <v>551</v>
      </c>
      <c r="B21" s="330">
        <f>'Solvent Breakdown'!D144</f>
        <v>889.43039999999962</v>
      </c>
      <c r="C21" s="334">
        <v>0.97</v>
      </c>
      <c r="D21" s="332">
        <f t="shared" ref="D21" si="14">B21*(1-C21)</f>
        <v>26.682912000000012</v>
      </c>
      <c r="E21" s="336">
        <v>0.95</v>
      </c>
      <c r="F21" s="329">
        <f t="shared" ref="F21" si="15">B21*(1-E21)</f>
        <v>44.471520000000019</v>
      </c>
    </row>
    <row r="22" spans="1:6" x14ac:dyDescent="0.2">
      <c r="A22" s="25" t="s">
        <v>227</v>
      </c>
      <c r="B22" s="330">
        <f>'Solvent Breakdown'!D154</f>
        <v>0</v>
      </c>
      <c r="C22" s="334">
        <v>0.97</v>
      </c>
      <c r="D22" s="332">
        <f t="shared" si="0"/>
        <v>0</v>
      </c>
      <c r="E22" s="336">
        <v>0.95</v>
      </c>
      <c r="F22" s="329">
        <f t="shared" si="1"/>
        <v>0</v>
      </c>
    </row>
    <row r="23" spans="1:6" x14ac:dyDescent="0.2">
      <c r="A23" s="25" t="s">
        <v>356</v>
      </c>
      <c r="B23" s="330">
        <f>'Solvent Breakdown'!D160</f>
        <v>0</v>
      </c>
      <c r="C23" s="334">
        <v>0.97</v>
      </c>
      <c r="D23" s="332">
        <f t="shared" si="0"/>
        <v>0</v>
      </c>
      <c r="E23" s="336">
        <v>0.95</v>
      </c>
      <c r="F23" s="329">
        <f t="shared" si="1"/>
        <v>0</v>
      </c>
    </row>
    <row r="24" spans="1:6" x14ac:dyDescent="0.2">
      <c r="A24" s="25" t="s">
        <v>361</v>
      </c>
      <c r="B24" s="330">
        <f>'Solvent Breakdown'!D168</f>
        <v>3.8203480833335992</v>
      </c>
      <c r="C24" s="334">
        <v>0.97</v>
      </c>
      <c r="D24" s="332">
        <f t="shared" si="0"/>
        <v>0.11461044250000808</v>
      </c>
      <c r="E24" s="336">
        <v>0.95</v>
      </c>
      <c r="F24" s="329">
        <f t="shared" si="1"/>
        <v>0.19101740416668014</v>
      </c>
    </row>
    <row r="25" spans="1:6" x14ac:dyDescent="0.2">
      <c r="A25" s="25" t="s">
        <v>380</v>
      </c>
      <c r="B25" s="330">
        <v>0</v>
      </c>
      <c r="C25" s="334">
        <v>0.97</v>
      </c>
      <c r="D25" s="332">
        <f t="shared" si="0"/>
        <v>0</v>
      </c>
      <c r="E25" s="336">
        <v>0.95</v>
      </c>
      <c r="F25" s="329">
        <f t="shared" si="1"/>
        <v>0</v>
      </c>
    </row>
    <row r="26" spans="1:6" x14ac:dyDescent="0.2">
      <c r="A26" s="25" t="s">
        <v>549</v>
      </c>
      <c r="B26" s="330">
        <f>'Solvent Breakdown'!D182</f>
        <v>0</v>
      </c>
      <c r="C26" s="334">
        <v>0.97</v>
      </c>
      <c r="D26" s="332">
        <f t="shared" ref="D26:D28" si="16">B26*(1-C26)</f>
        <v>0</v>
      </c>
      <c r="E26" s="336">
        <v>0.95</v>
      </c>
      <c r="F26" s="329">
        <f t="shared" ref="F26:F28" si="17">B26*(1-E26)</f>
        <v>0</v>
      </c>
    </row>
    <row r="27" spans="1:6" x14ac:dyDescent="0.2">
      <c r="A27" s="25" t="s">
        <v>400</v>
      </c>
      <c r="B27" s="330">
        <f>'Solvent Breakdown'!D190</f>
        <v>0</v>
      </c>
      <c r="C27" s="334">
        <v>0.97</v>
      </c>
      <c r="D27" s="332">
        <f t="shared" si="16"/>
        <v>0</v>
      </c>
      <c r="E27" s="336">
        <v>0.95</v>
      </c>
      <c r="F27" s="329">
        <f t="shared" si="17"/>
        <v>0</v>
      </c>
    </row>
    <row r="28" spans="1:6" x14ac:dyDescent="0.2">
      <c r="A28" s="25" t="s">
        <v>402</v>
      </c>
      <c r="B28" s="330">
        <f>'Solvent Breakdown'!D195</f>
        <v>0</v>
      </c>
      <c r="C28" s="334">
        <v>0.97</v>
      </c>
      <c r="D28" s="332">
        <f t="shared" si="16"/>
        <v>0</v>
      </c>
      <c r="E28" s="336">
        <v>0.95</v>
      </c>
      <c r="F28" s="329">
        <f t="shared" si="17"/>
        <v>0</v>
      </c>
    </row>
    <row r="29" spans="1:6" x14ac:dyDescent="0.2">
      <c r="A29" s="25" t="s">
        <v>548</v>
      </c>
      <c r="B29" s="330">
        <f>'Solvent Breakdown'!D196</f>
        <v>0</v>
      </c>
      <c r="C29" s="334">
        <v>0.97</v>
      </c>
      <c r="D29" s="332">
        <f t="shared" ref="D29" si="18">B29*(1-C29)</f>
        <v>0</v>
      </c>
      <c r="E29" s="336">
        <v>0.95</v>
      </c>
      <c r="F29" s="329">
        <f t="shared" ref="F29" si="19">B29*(1-E29)</f>
        <v>0</v>
      </c>
    </row>
    <row r="30" spans="1:6" x14ac:dyDescent="0.2">
      <c r="A30" s="25" t="s">
        <v>228</v>
      </c>
      <c r="B30" s="330">
        <f>'Solvent Breakdown'!D205</f>
        <v>1.4591429999999996</v>
      </c>
      <c r="C30" s="334">
        <v>0.97</v>
      </c>
      <c r="D30" s="332">
        <f t="shared" si="0"/>
        <v>4.3774290000000028E-2</v>
      </c>
      <c r="E30" s="336">
        <v>0.95</v>
      </c>
      <c r="F30" s="329">
        <f t="shared" si="1"/>
        <v>7.295715000000004E-2</v>
      </c>
    </row>
    <row r="31" spans="1:6" x14ac:dyDescent="0.2">
      <c r="A31" s="25" t="s">
        <v>231</v>
      </c>
      <c r="B31" s="330">
        <f>'Solvent Breakdown'!D212</f>
        <v>0</v>
      </c>
      <c r="C31" s="334">
        <v>0.97</v>
      </c>
      <c r="D31" s="332">
        <f t="shared" si="0"/>
        <v>0</v>
      </c>
      <c r="E31" s="336">
        <v>0.95</v>
      </c>
      <c r="F31" s="329">
        <f t="shared" si="1"/>
        <v>0</v>
      </c>
    </row>
    <row r="32" spans="1:6" x14ac:dyDescent="0.2">
      <c r="A32" s="25" t="s">
        <v>234</v>
      </c>
      <c r="B32" s="330">
        <f>'Solvent Breakdown'!D218</f>
        <v>1.0744499999999999E-2</v>
      </c>
      <c r="C32" s="334">
        <v>0.97</v>
      </c>
      <c r="D32" s="332">
        <f t="shared" si="0"/>
        <v>3.2233500000000025E-4</v>
      </c>
      <c r="E32" s="336">
        <v>0.95</v>
      </c>
      <c r="F32" s="329">
        <f t="shared" si="1"/>
        <v>5.3722500000000044E-4</v>
      </c>
    </row>
    <row r="33" spans="1:6" x14ac:dyDescent="0.2">
      <c r="A33" s="25" t="s">
        <v>237</v>
      </c>
      <c r="B33" s="330">
        <f>'Solvent Breakdown'!D225</f>
        <v>0.101004</v>
      </c>
      <c r="C33" s="334">
        <v>0.97</v>
      </c>
      <c r="D33" s="332">
        <f t="shared" si="0"/>
        <v>3.0301200000000025E-3</v>
      </c>
      <c r="E33" s="336">
        <v>0.95</v>
      </c>
      <c r="F33" s="329">
        <f t="shared" si="1"/>
        <v>5.0502000000000047E-3</v>
      </c>
    </row>
    <row r="34" spans="1:6" x14ac:dyDescent="0.2">
      <c r="A34" s="25" t="s">
        <v>328</v>
      </c>
      <c r="B34" s="330">
        <f>'Solvent Breakdown'!D235</f>
        <v>0</v>
      </c>
      <c r="C34" s="334">
        <v>0.97</v>
      </c>
      <c r="D34" s="332">
        <f t="shared" si="0"/>
        <v>0</v>
      </c>
      <c r="E34" s="336">
        <v>0.95</v>
      </c>
      <c r="F34" s="329">
        <f t="shared" si="1"/>
        <v>0</v>
      </c>
    </row>
    <row r="35" spans="1:6" x14ac:dyDescent="0.2">
      <c r="A35" s="25" t="s">
        <v>271</v>
      </c>
      <c r="B35" s="330">
        <f>'Solvent Breakdown'!D240</f>
        <v>0</v>
      </c>
      <c r="C35" s="334">
        <v>0.97</v>
      </c>
      <c r="D35" s="332">
        <f t="shared" si="0"/>
        <v>0</v>
      </c>
      <c r="E35" s="336">
        <v>0.95</v>
      </c>
      <c r="F35" s="329">
        <f t="shared" si="1"/>
        <v>0</v>
      </c>
    </row>
    <row r="36" spans="1:6" x14ac:dyDescent="0.2">
      <c r="A36" s="25" t="s">
        <v>313</v>
      </c>
      <c r="B36" s="330">
        <f>'Solvent Breakdown'!D246</f>
        <v>0</v>
      </c>
      <c r="C36" s="334">
        <v>0.97</v>
      </c>
      <c r="D36" s="332">
        <f t="shared" si="0"/>
        <v>0</v>
      </c>
      <c r="E36" s="336">
        <v>0.95</v>
      </c>
      <c r="F36" s="329">
        <f t="shared" si="1"/>
        <v>0</v>
      </c>
    </row>
    <row r="37" spans="1:6" x14ac:dyDescent="0.2">
      <c r="A37" s="25" t="s">
        <v>269</v>
      </c>
      <c r="B37" s="330">
        <f>'Solvent Breakdown'!D252</f>
        <v>23.647597600000001</v>
      </c>
      <c r="C37" s="334">
        <v>0.97</v>
      </c>
      <c r="D37" s="332">
        <f t="shared" si="0"/>
        <v>0.70942792800000065</v>
      </c>
      <c r="E37" s="336">
        <v>0.95</v>
      </c>
      <c r="F37" s="329">
        <f t="shared" si="1"/>
        <v>1.1823798800000012</v>
      </c>
    </row>
    <row r="38" spans="1:6" x14ac:dyDescent="0.2">
      <c r="A38" s="25" t="s">
        <v>273</v>
      </c>
      <c r="B38" s="330">
        <f>'Solvent Breakdown'!D258</f>
        <v>0</v>
      </c>
      <c r="C38" s="334">
        <v>0.97</v>
      </c>
      <c r="D38" s="332">
        <f t="shared" si="0"/>
        <v>0</v>
      </c>
      <c r="E38" s="336">
        <v>0.95</v>
      </c>
      <c r="F38" s="329">
        <f t="shared" si="1"/>
        <v>0</v>
      </c>
    </row>
    <row r="39" spans="1:6" x14ac:dyDescent="0.2">
      <c r="A39" s="25" t="s">
        <v>330</v>
      </c>
      <c r="B39" s="330">
        <f>'Solvent Breakdown'!D265</f>
        <v>0</v>
      </c>
      <c r="C39" s="334">
        <v>0.97</v>
      </c>
      <c r="D39" s="332">
        <f t="shared" si="0"/>
        <v>0</v>
      </c>
      <c r="E39" s="336">
        <v>0.95</v>
      </c>
      <c r="F39" s="329">
        <f t="shared" si="1"/>
        <v>0</v>
      </c>
    </row>
    <row r="40" spans="1:6" x14ac:dyDescent="0.2">
      <c r="A40" s="25" t="s">
        <v>336</v>
      </c>
      <c r="B40" s="330">
        <f>'Solvent Breakdown'!D274</f>
        <v>0</v>
      </c>
      <c r="C40" s="334">
        <v>0.97</v>
      </c>
      <c r="D40" s="332">
        <f t="shared" si="0"/>
        <v>0</v>
      </c>
      <c r="E40" s="336">
        <v>0.95</v>
      </c>
      <c r="F40" s="329">
        <f t="shared" si="1"/>
        <v>0</v>
      </c>
    </row>
    <row r="41" spans="1:6" x14ac:dyDescent="0.2">
      <c r="A41" s="25" t="s">
        <v>378</v>
      </c>
      <c r="B41" s="330">
        <f>'Solvent Breakdown'!D279</f>
        <v>0</v>
      </c>
      <c r="C41" s="334">
        <v>0.97</v>
      </c>
      <c r="D41" s="332">
        <f t="shared" si="0"/>
        <v>0</v>
      </c>
      <c r="E41" s="336">
        <v>0.95</v>
      </c>
      <c r="F41" s="329">
        <f t="shared" si="1"/>
        <v>0</v>
      </c>
    </row>
    <row r="42" spans="1:6" x14ac:dyDescent="0.2">
      <c r="A42" s="25" t="s">
        <v>379</v>
      </c>
      <c r="B42" s="330">
        <f>'Solvent Breakdown'!D285</f>
        <v>0</v>
      </c>
      <c r="C42" s="334">
        <v>0.97</v>
      </c>
      <c r="D42" s="332">
        <f t="shared" si="0"/>
        <v>0</v>
      </c>
      <c r="E42" s="336">
        <v>0.95</v>
      </c>
      <c r="F42" s="329">
        <f t="shared" si="1"/>
        <v>0</v>
      </c>
    </row>
    <row r="43" spans="1:6" x14ac:dyDescent="0.2">
      <c r="A43" s="25" t="s">
        <v>253</v>
      </c>
      <c r="B43" s="330">
        <f>'Solvent Breakdown'!D294</f>
        <v>50.847999999999999</v>
      </c>
      <c r="C43" s="334">
        <v>0.97</v>
      </c>
      <c r="D43" s="332">
        <f t="shared" si="0"/>
        <v>1.5254400000000012</v>
      </c>
      <c r="E43" s="336">
        <v>0.95</v>
      </c>
      <c r="F43" s="329">
        <f t="shared" si="1"/>
        <v>2.542400000000002</v>
      </c>
    </row>
    <row r="44" spans="1:6" x14ac:dyDescent="0.2">
      <c r="A44" s="25" t="s">
        <v>541</v>
      </c>
      <c r="B44" s="330">
        <f>'Solvent Breakdown'!D300</f>
        <v>0</v>
      </c>
      <c r="C44" s="334">
        <v>0.97</v>
      </c>
      <c r="D44" s="332">
        <f t="shared" ref="D44" si="20">B44*(1-C44)</f>
        <v>0</v>
      </c>
      <c r="E44" s="336">
        <v>0.95</v>
      </c>
      <c r="F44" s="329">
        <f t="shared" ref="F44" si="21">B44*(1-E44)</f>
        <v>0</v>
      </c>
    </row>
    <row r="45" spans="1:6" x14ac:dyDescent="0.2">
      <c r="A45" s="25" t="s">
        <v>152</v>
      </c>
      <c r="B45" s="330">
        <f>'Solvent Breakdown'!D309</f>
        <v>39.185999999999986</v>
      </c>
      <c r="C45" s="334">
        <v>0.97</v>
      </c>
      <c r="D45" s="332">
        <f t="shared" si="0"/>
        <v>1.1755800000000005</v>
      </c>
      <c r="E45" s="336">
        <v>0.95</v>
      </c>
      <c r="F45" s="329">
        <f t="shared" si="1"/>
        <v>1.9593000000000009</v>
      </c>
    </row>
    <row r="46" spans="1:6" x14ac:dyDescent="0.2">
      <c r="A46" s="25" t="s">
        <v>518</v>
      </c>
      <c r="B46" s="330">
        <f>'Solvent Breakdown'!D319</f>
        <v>14.76</v>
      </c>
      <c r="C46" s="334">
        <v>0.97</v>
      </c>
      <c r="D46" s="332">
        <f t="shared" si="0"/>
        <v>0.44280000000000036</v>
      </c>
      <c r="E46" s="336">
        <v>0.95</v>
      </c>
      <c r="F46" s="329">
        <f t="shared" si="1"/>
        <v>0.73800000000000066</v>
      </c>
    </row>
    <row r="47" spans="1:6" ht="13.5" thickBot="1" x14ac:dyDescent="0.25">
      <c r="A47" s="25" t="s">
        <v>570</v>
      </c>
      <c r="B47" s="332">
        <f>'Solvent Breakdown'!R327</f>
        <v>0</v>
      </c>
      <c r="C47" s="334">
        <v>0.97</v>
      </c>
      <c r="D47" s="332">
        <f t="shared" si="0"/>
        <v>0</v>
      </c>
      <c r="E47" s="336">
        <v>0.95</v>
      </c>
      <c r="F47" s="329">
        <f t="shared" ref="F47" si="22">B47*(1-E47)</f>
        <v>0</v>
      </c>
    </row>
    <row r="48" spans="1:6" ht="13.5" thickBot="1" x14ac:dyDescent="0.25">
      <c r="A48" s="337" t="s">
        <v>524</v>
      </c>
      <c r="B48" s="601">
        <f>SUM(B4:B47)</f>
        <v>5319.8312034384962</v>
      </c>
      <c r="C48" s="338"/>
      <c r="D48" s="339">
        <f>SUM(D4:D47)</f>
        <v>159.59493610315499</v>
      </c>
      <c r="E48" s="340"/>
      <c r="F48" s="339">
        <f>SUM(F4:F47)</f>
        <v>265.99156017192507</v>
      </c>
    </row>
    <row r="49" spans="2:3" x14ac:dyDescent="0.2">
      <c r="B49" s="87"/>
      <c r="C49" s="325"/>
    </row>
    <row r="50" spans="2:3" x14ac:dyDescent="0.2">
      <c r="B50" s="87"/>
      <c r="C50" s="325"/>
    </row>
    <row r="51" spans="2:3" x14ac:dyDescent="0.2">
      <c r="B51" s="87"/>
      <c r="C51" s="325"/>
    </row>
    <row r="52" spans="2:3" x14ac:dyDescent="0.2">
      <c r="B52" s="87"/>
      <c r="C52" s="325"/>
    </row>
    <row r="53" spans="2:3" x14ac:dyDescent="0.2">
      <c r="B53" s="87"/>
      <c r="C53" s="325"/>
    </row>
    <row r="54" spans="2:3" x14ac:dyDescent="0.2">
      <c r="B54" s="87"/>
      <c r="C54" s="325"/>
    </row>
    <row r="55" spans="2:3" x14ac:dyDescent="0.2">
      <c r="B55" s="87"/>
      <c r="C55" s="325"/>
    </row>
    <row r="56" spans="2:3" x14ac:dyDescent="0.2">
      <c r="B56" s="87"/>
      <c r="C56" s="325"/>
    </row>
    <row r="57" spans="2:3" x14ac:dyDescent="0.2">
      <c r="C57" s="325"/>
    </row>
    <row r="58" spans="2:3" x14ac:dyDescent="0.2">
      <c r="C58" s="325"/>
    </row>
    <row r="59" spans="2:3" x14ac:dyDescent="0.2">
      <c r="C59" s="325"/>
    </row>
    <row r="60" spans="2:3" x14ac:dyDescent="0.2">
      <c r="C60" s="325"/>
    </row>
    <row r="61" spans="2:3" x14ac:dyDescent="0.2">
      <c r="C61" s="325"/>
    </row>
    <row r="62" spans="2:3" x14ac:dyDescent="0.2">
      <c r="C62" s="325"/>
    </row>
    <row r="63" spans="2:3" x14ac:dyDescent="0.2">
      <c r="C63" s="325"/>
    </row>
    <row r="64" spans="2:3" x14ac:dyDescent="0.2">
      <c r="C64" s="325"/>
    </row>
    <row r="65" spans="3:3" x14ac:dyDescent="0.2">
      <c r="C65" s="325"/>
    </row>
    <row r="66" spans="3:3" x14ac:dyDescent="0.2">
      <c r="C66" s="325"/>
    </row>
    <row r="67" spans="3:3" x14ac:dyDescent="0.2">
      <c r="C67" s="325"/>
    </row>
    <row r="68" spans="3:3" x14ac:dyDescent="0.2">
      <c r="C68" s="325"/>
    </row>
    <row r="69" spans="3:3" x14ac:dyDescent="0.2">
      <c r="C69" s="325"/>
    </row>
    <row r="70" spans="3:3" x14ac:dyDescent="0.2">
      <c r="C70" s="325"/>
    </row>
    <row r="71" spans="3:3" x14ac:dyDescent="0.2">
      <c r="C71" s="325"/>
    </row>
    <row r="72" spans="3:3" x14ac:dyDescent="0.2">
      <c r="C72" s="325"/>
    </row>
    <row r="73" spans="3:3" x14ac:dyDescent="0.2">
      <c r="C73" s="325"/>
    </row>
    <row r="74" spans="3:3" x14ac:dyDescent="0.2">
      <c r="C74" s="325"/>
    </row>
    <row r="75" spans="3:3" x14ac:dyDescent="0.2">
      <c r="C75" s="325"/>
    </row>
    <row r="76" spans="3:3" x14ac:dyDescent="0.2">
      <c r="C76" s="325"/>
    </row>
    <row r="77" spans="3:3" x14ac:dyDescent="0.2">
      <c r="C77" s="325"/>
    </row>
    <row r="78" spans="3:3" x14ac:dyDescent="0.2">
      <c r="C78" s="325"/>
    </row>
    <row r="79" spans="3:3" x14ac:dyDescent="0.2">
      <c r="C79" s="325"/>
    </row>
    <row r="80" spans="3:3" x14ac:dyDescent="0.2">
      <c r="C80" s="325"/>
    </row>
    <row r="81" spans="3:3" x14ac:dyDescent="0.2">
      <c r="C81" s="325"/>
    </row>
    <row r="82" spans="3:3" x14ac:dyDescent="0.2">
      <c r="C82" s="325"/>
    </row>
    <row r="83" spans="3:3" x14ac:dyDescent="0.2">
      <c r="C83" s="325"/>
    </row>
    <row r="84" spans="3:3" x14ac:dyDescent="0.2">
      <c r="C84" s="325"/>
    </row>
    <row r="85" spans="3:3" x14ac:dyDescent="0.2">
      <c r="C85" s="325"/>
    </row>
    <row r="86" spans="3:3" x14ac:dyDescent="0.2">
      <c r="C86" s="325"/>
    </row>
    <row r="87" spans="3:3" x14ac:dyDescent="0.2">
      <c r="C87" s="325"/>
    </row>
    <row r="88" spans="3:3" x14ac:dyDescent="0.2">
      <c r="C88" s="325"/>
    </row>
    <row r="89" spans="3:3" x14ac:dyDescent="0.2">
      <c r="C89" s="325"/>
    </row>
    <row r="90" spans="3:3" x14ac:dyDescent="0.2">
      <c r="C90" s="325"/>
    </row>
    <row r="91" spans="3:3" x14ac:dyDescent="0.2">
      <c r="C91" s="325"/>
    </row>
    <row r="92" spans="3:3" x14ac:dyDescent="0.2">
      <c r="C92" s="325"/>
    </row>
    <row r="93" spans="3:3" x14ac:dyDescent="0.2">
      <c r="C93" s="325"/>
    </row>
    <row r="94" spans="3:3" x14ac:dyDescent="0.2">
      <c r="C94" s="325"/>
    </row>
    <row r="95" spans="3:3" x14ac:dyDescent="0.2">
      <c r="C95" s="325"/>
    </row>
    <row r="96" spans="3:3" x14ac:dyDescent="0.2">
      <c r="C96" s="325"/>
    </row>
    <row r="97" spans="3:3" x14ac:dyDescent="0.2">
      <c r="C97" s="325"/>
    </row>
    <row r="98" spans="3:3" x14ac:dyDescent="0.2">
      <c r="C98" s="325"/>
    </row>
    <row r="99" spans="3:3" x14ac:dyDescent="0.2">
      <c r="C99" s="325"/>
    </row>
    <row r="100" spans="3:3" x14ac:dyDescent="0.2">
      <c r="C100" s="325"/>
    </row>
    <row r="101" spans="3:3" x14ac:dyDescent="0.2">
      <c r="C101" s="325"/>
    </row>
    <row r="102" spans="3:3" x14ac:dyDescent="0.2">
      <c r="C102" s="325"/>
    </row>
    <row r="103" spans="3:3" x14ac:dyDescent="0.2">
      <c r="C103" s="325"/>
    </row>
    <row r="104" spans="3:3" x14ac:dyDescent="0.2">
      <c r="C104" s="325"/>
    </row>
  </sheetData>
  <mergeCells count="2">
    <mergeCell ref="A1:F1"/>
    <mergeCell ref="A2:F2"/>
  </mergeCells>
  <pageMargins left="0.7" right="0.7" top="0.75" bottom="0.75" header="0.3" footer="0.3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12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7" sqref="A7"/>
      <selection pane="bottomRight" activeCell="H8" sqref="H8"/>
    </sheetView>
  </sheetViews>
  <sheetFormatPr defaultRowHeight="12.75" x14ac:dyDescent="0.2"/>
  <cols>
    <col min="1" max="1" width="15" style="170" customWidth="1"/>
    <col min="2" max="6" width="12.28515625" style="170" customWidth="1"/>
    <col min="7" max="7" width="6.140625" style="170" customWidth="1"/>
    <col min="8" max="8" width="12.28515625" style="170" customWidth="1"/>
    <col min="9" max="9" width="11" style="170" customWidth="1"/>
    <col min="10" max="11" width="12.28515625" style="170" customWidth="1"/>
    <col min="12" max="12" width="13.28515625" style="170" customWidth="1"/>
    <col min="13" max="13" width="14.5703125" style="170" customWidth="1"/>
    <col min="14" max="19" width="12.28515625" style="170" customWidth="1"/>
    <col min="20" max="20" width="10.7109375" style="170" customWidth="1"/>
    <col min="21" max="21" width="10.42578125" style="170" customWidth="1"/>
    <col min="22" max="25" width="11.140625" style="170" customWidth="1"/>
    <col min="26" max="26" width="10.42578125" style="170" customWidth="1"/>
    <col min="27" max="29" width="10.85546875" style="170" customWidth="1"/>
    <col min="30" max="30" width="11.140625" style="170" customWidth="1"/>
    <col min="31" max="31" width="10" style="170" customWidth="1"/>
    <col min="32" max="32" width="11.28515625" style="170" customWidth="1"/>
    <col min="33" max="33" width="11.5703125" style="170" customWidth="1"/>
    <col min="34" max="37" width="10.140625" style="170" customWidth="1"/>
    <col min="38" max="39" width="10.28515625" style="170" customWidth="1"/>
    <col min="40" max="42" width="10.7109375" style="170" customWidth="1"/>
    <col min="43" max="44" width="9.85546875" style="170" customWidth="1"/>
    <col min="45" max="45" width="10.85546875" style="170" customWidth="1"/>
    <col min="46" max="46" width="7.7109375" style="170" customWidth="1"/>
    <col min="47" max="47" width="31.7109375" style="170" customWidth="1"/>
    <col min="48" max="48" width="11.28515625" style="170" customWidth="1"/>
    <col min="49" max="50" width="9.140625" style="170"/>
    <col min="51" max="52" width="9.85546875" style="170" customWidth="1"/>
    <col min="53" max="53" width="35" style="170" customWidth="1"/>
    <col min="54" max="54" width="12.28515625" style="170" customWidth="1"/>
    <col min="55" max="55" width="11.140625" style="170" customWidth="1"/>
    <col min="56" max="56" width="9.42578125" style="170" customWidth="1"/>
    <col min="57" max="58" width="9.140625" style="170"/>
    <col min="59" max="59" width="11.28515625" style="170" customWidth="1"/>
    <col min="60" max="60" width="12.140625" style="170" customWidth="1"/>
    <col min="61" max="61" width="10.7109375" style="170" customWidth="1"/>
    <col min="62" max="62" width="10.42578125" style="170" customWidth="1"/>
    <col min="63" max="63" width="9" style="170" customWidth="1"/>
    <col min="64" max="64" width="10" style="170" customWidth="1"/>
    <col min="65" max="65" width="9.28515625" style="170" customWidth="1"/>
    <col min="66" max="66" width="9.140625" style="170" bestFit="1" customWidth="1"/>
    <col min="67" max="67" width="8.7109375" style="170" customWidth="1"/>
    <col min="68" max="68" width="9.140625" style="170"/>
    <col min="69" max="69" width="8.7109375" style="170" customWidth="1"/>
    <col min="70" max="70" width="9.140625" style="170"/>
    <col min="71" max="71" width="10" style="170" customWidth="1"/>
    <col min="72" max="72" width="10.28515625" style="170" bestFit="1" customWidth="1"/>
    <col min="73" max="74" width="9.140625" style="170"/>
    <col min="75" max="75" width="9.7109375" style="170" bestFit="1" customWidth="1"/>
    <col min="76" max="76" width="9.140625" style="170"/>
    <col min="77" max="77" width="9.28515625" style="170" customWidth="1"/>
    <col min="78" max="78" width="9.5703125" style="170" customWidth="1"/>
    <col min="79" max="79" width="9.140625" style="170"/>
    <col min="80" max="80" width="7.85546875" style="170" customWidth="1"/>
    <col min="81" max="84" width="9.42578125" style="170" customWidth="1"/>
    <col min="85" max="85" width="4.140625" style="170" customWidth="1"/>
    <col min="86" max="86" width="9.140625" style="170"/>
    <col min="87" max="87" width="10.85546875" style="170" customWidth="1"/>
    <col min="88" max="90" width="9.140625" style="170"/>
    <col min="91" max="91" width="8.140625" style="170" customWidth="1"/>
    <col min="92" max="16384" width="9.140625" style="170"/>
  </cols>
  <sheetData>
    <row r="1" spans="1:94" ht="13.5" thickBot="1" x14ac:dyDescent="0.25">
      <c r="A1" s="171"/>
      <c r="B1" s="168"/>
      <c r="C1" s="168"/>
      <c r="D1" s="168"/>
      <c r="E1" s="168"/>
      <c r="F1" s="167"/>
      <c r="G1" s="167"/>
      <c r="H1" s="167"/>
      <c r="I1" s="167"/>
      <c r="J1" s="167"/>
      <c r="K1" s="167"/>
      <c r="L1" s="167"/>
      <c r="M1" s="171"/>
      <c r="N1" s="168"/>
      <c r="O1" s="168"/>
      <c r="P1" s="168"/>
      <c r="Q1" s="168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239" t="s">
        <v>118</v>
      </c>
      <c r="AV1" s="167"/>
      <c r="AW1" s="167"/>
      <c r="AX1" s="167"/>
      <c r="AY1" s="240"/>
      <c r="AZ1" s="240"/>
      <c r="BA1" s="235" t="s">
        <v>203</v>
      </c>
      <c r="BB1" s="177" t="s">
        <v>279</v>
      </c>
      <c r="BC1" s="179" t="e">
        <f t="shared" ref="BC1:BC9" si="0">BD1/BF1</f>
        <v>#REF!</v>
      </c>
      <c r="BD1" s="219" t="e">
        <f>AX126</f>
        <v>#REF!</v>
      </c>
      <c r="BE1" s="234" t="e">
        <f t="shared" ref="BE1:BE9" si="1">BD1/1000</f>
        <v>#REF!</v>
      </c>
      <c r="BF1" s="196">
        <v>1.1200000000000001</v>
      </c>
      <c r="BG1" s="197">
        <v>0</v>
      </c>
      <c r="BH1" s="198">
        <v>1</v>
      </c>
      <c r="BI1" s="179">
        <v>0</v>
      </c>
      <c r="BJ1" s="199" t="e">
        <f t="shared" ref="BJ1:BJ11" si="2">BC1/BC$12</f>
        <v>#REF!</v>
      </c>
      <c r="BK1" s="200" t="e">
        <f t="shared" ref="BK1:BK11" si="3">BD1/BD$12</f>
        <v>#REF!</v>
      </c>
      <c r="BL1" s="201" t="e">
        <f>BD1-'[1]YEAR 2015 EMISSIONS'!$BA54</f>
        <v>#REF!</v>
      </c>
      <c r="BM1" s="202" t="e">
        <f t="shared" ref="BM1:BM11" si="4">BL1/1000</f>
        <v>#REF!</v>
      </c>
      <c r="BN1" s="1" t="e">
        <f>BL1/'[1]YEAR 2015 EMISSIONS'!$BA54</f>
        <v>#REF!</v>
      </c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</row>
    <row r="2" spans="1:94" ht="13.5" thickBot="1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168"/>
      <c r="T2" s="168"/>
      <c r="U2" s="168"/>
      <c r="V2" s="168"/>
      <c r="W2" s="168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241"/>
      <c r="AM2" s="167"/>
      <c r="AN2" s="167"/>
      <c r="AO2" s="167"/>
      <c r="AP2" s="168"/>
      <c r="AQ2" s="168"/>
      <c r="AR2" s="168"/>
      <c r="AS2" s="168"/>
      <c r="AT2" s="167"/>
      <c r="AU2" s="187" t="s">
        <v>140</v>
      </c>
      <c r="AV2" s="188" t="e">
        <f>#REF!</f>
        <v>#REF!</v>
      </c>
      <c r="AW2" s="189" t="s">
        <v>57</v>
      </c>
      <c r="AX2" s="214">
        <v>0.89749999999999996</v>
      </c>
      <c r="AY2" s="189" t="s">
        <v>58</v>
      </c>
      <c r="AZ2" s="191" t="s">
        <v>212</v>
      </c>
      <c r="BA2" s="192" t="s">
        <v>296</v>
      </c>
      <c r="BB2" s="193" t="s">
        <v>278</v>
      </c>
      <c r="BC2" s="179" t="e">
        <f t="shared" si="0"/>
        <v>#REF!</v>
      </c>
      <c r="BD2" s="219" t="e">
        <f>AX125+AX133+AX229</f>
        <v>#REF!</v>
      </c>
      <c r="BE2" s="234" t="e">
        <f t="shared" si="1"/>
        <v>#REF!</v>
      </c>
      <c r="BF2" s="196">
        <v>1.04</v>
      </c>
      <c r="BG2" s="197">
        <v>0</v>
      </c>
      <c r="BH2" s="198">
        <v>1</v>
      </c>
      <c r="BI2" s="179">
        <v>0</v>
      </c>
      <c r="BJ2" s="199" t="e">
        <f t="shared" si="2"/>
        <v>#REF!</v>
      </c>
      <c r="BK2" s="200" t="e">
        <f t="shared" si="3"/>
        <v>#REF!</v>
      </c>
      <c r="BL2" s="201" t="e">
        <f>BD2-'[1]YEAR 2015 EMISSIONS'!$BA55</f>
        <v>#REF!</v>
      </c>
      <c r="BM2" s="202" t="e">
        <f t="shared" si="4"/>
        <v>#REF!</v>
      </c>
      <c r="BN2" s="1" t="e">
        <f>BL2/'[1]YEAR 2015 EMISSIONS'!$BA55</f>
        <v>#REF!</v>
      </c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</row>
    <row r="3" spans="1:94" ht="13.5" thickBot="1" x14ac:dyDescent="0.25">
      <c r="A3" s="732" t="s">
        <v>602</v>
      </c>
      <c r="B3" s="745"/>
      <c r="C3" s="745"/>
      <c r="D3" s="745"/>
      <c r="E3" s="745"/>
      <c r="F3" s="746"/>
      <c r="G3" s="168"/>
      <c r="H3" s="732" t="s">
        <v>576</v>
      </c>
      <c r="I3" s="733"/>
      <c r="J3" s="733"/>
      <c r="K3" s="734"/>
      <c r="L3" s="167"/>
      <c r="Q3" s="167"/>
      <c r="R3" s="729"/>
      <c r="S3" s="729"/>
      <c r="T3" s="729"/>
      <c r="U3" s="729"/>
      <c r="V3" s="729"/>
      <c r="W3" s="729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8"/>
      <c r="AQ3" s="167"/>
      <c r="AR3" s="167"/>
      <c r="AS3" s="168"/>
      <c r="AT3" s="167"/>
      <c r="AU3" s="168" t="s">
        <v>62</v>
      </c>
      <c r="AV3" s="167"/>
      <c r="AW3" s="242">
        <f>AW6-SUM(AW4:AW5)</f>
        <v>0.43999999999999995</v>
      </c>
      <c r="AX3" s="204" t="e">
        <f>AX6*AW3</f>
        <v>#REF!</v>
      </c>
      <c r="AY3" s="209" t="s">
        <v>113</v>
      </c>
      <c r="AZ3" s="209"/>
      <c r="BA3" s="181" t="s">
        <v>206</v>
      </c>
      <c r="BB3" s="177" t="s">
        <v>207</v>
      </c>
      <c r="BC3" s="179" t="e">
        <f t="shared" si="0"/>
        <v>#REF!</v>
      </c>
      <c r="BD3" s="216" t="e">
        <f>AX92+AX99+AX119+AX124+AX131+AX139+AX145+AX163</f>
        <v>#REF!</v>
      </c>
      <c r="BE3" s="234" t="e">
        <f t="shared" si="1"/>
        <v>#REF!</v>
      </c>
      <c r="BF3" s="196">
        <v>1.3413999999999999</v>
      </c>
      <c r="BG3" s="197">
        <v>0</v>
      </c>
      <c r="BH3" s="198">
        <v>1</v>
      </c>
      <c r="BI3" s="179">
        <v>0</v>
      </c>
      <c r="BJ3" s="199" t="e">
        <f t="shared" si="2"/>
        <v>#REF!</v>
      </c>
      <c r="BK3" s="200" t="e">
        <f t="shared" si="3"/>
        <v>#REF!</v>
      </c>
      <c r="BL3" s="201" t="e">
        <f>BD3-'[1]YEAR 2015 EMISSIONS'!$BA56</f>
        <v>#REF!</v>
      </c>
      <c r="BM3" s="202" t="e">
        <f t="shared" si="4"/>
        <v>#REF!</v>
      </c>
      <c r="BN3" s="1" t="e">
        <f>BL3/'[1]YEAR 2015 EMISSIONS'!$BA56</f>
        <v>#REF!</v>
      </c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</row>
    <row r="4" spans="1:94" x14ac:dyDescent="0.2">
      <c r="A4" s="735" t="s">
        <v>598</v>
      </c>
      <c r="B4" s="737" t="s">
        <v>438</v>
      </c>
      <c r="C4" s="739" t="s">
        <v>439</v>
      </c>
      <c r="D4" s="721" t="s">
        <v>440</v>
      </c>
      <c r="E4" s="741" t="s">
        <v>441</v>
      </c>
      <c r="F4" s="743" t="s">
        <v>442</v>
      </c>
      <c r="G4" s="168"/>
      <c r="H4" s="735" t="s">
        <v>598</v>
      </c>
      <c r="I4" s="730" t="s">
        <v>599</v>
      </c>
      <c r="J4" s="741" t="s">
        <v>600</v>
      </c>
      <c r="K4" s="723" t="s">
        <v>601</v>
      </c>
      <c r="L4" s="167"/>
      <c r="Q4" s="167"/>
      <c r="R4" s="168"/>
      <c r="S4" s="498"/>
      <c r="T4" s="250"/>
      <c r="U4" s="498"/>
      <c r="V4" s="498"/>
      <c r="W4" s="498"/>
      <c r="X4" s="168"/>
      <c r="Y4" s="168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8"/>
      <c r="AQ4" s="167"/>
      <c r="AR4" s="167"/>
      <c r="AS4" s="167"/>
      <c r="AT4" s="167"/>
      <c r="AU4" s="167" t="s">
        <v>217</v>
      </c>
      <c r="AV4" s="167" t="s">
        <v>69</v>
      </c>
      <c r="AW4" s="243">
        <v>0.4</v>
      </c>
      <c r="AX4" s="204" t="e">
        <f>AX$6*AW4</f>
        <v>#REF!</v>
      </c>
      <c r="AY4" s="209" t="s">
        <v>113</v>
      </c>
      <c r="AZ4" s="209"/>
      <c r="BA4" s="181" t="s">
        <v>208</v>
      </c>
      <c r="BB4" s="177" t="s">
        <v>209</v>
      </c>
      <c r="BC4" s="194" t="e">
        <f t="shared" si="0"/>
        <v>#REF!</v>
      </c>
      <c r="BD4" s="219" t="e">
        <f>AX173+AX184+AX196+AX207</f>
        <v>#REF!</v>
      </c>
      <c r="BE4" s="234" t="e">
        <f t="shared" si="1"/>
        <v>#REF!</v>
      </c>
      <c r="BF4" s="196">
        <v>0.501</v>
      </c>
      <c r="BG4" s="197">
        <v>0</v>
      </c>
      <c r="BH4" s="198">
        <v>1</v>
      </c>
      <c r="BI4" s="179">
        <v>0</v>
      </c>
      <c r="BJ4" s="199" t="e">
        <f t="shared" si="2"/>
        <v>#REF!</v>
      </c>
      <c r="BK4" s="200" t="e">
        <f t="shared" si="3"/>
        <v>#REF!</v>
      </c>
      <c r="BL4" s="201" t="e">
        <f>BD4-'[1]YEAR 2015 EMISSIONS'!$BA57</f>
        <v>#REF!</v>
      </c>
      <c r="BM4" s="202" t="e">
        <f t="shared" si="4"/>
        <v>#REF!</v>
      </c>
      <c r="BN4" s="1" t="e">
        <f>BL4/'[1]YEAR 2015 EMISSIONS'!$BA57</f>
        <v>#REF!</v>
      </c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</row>
    <row r="5" spans="1:94" ht="13.5" thickBot="1" x14ac:dyDescent="0.25">
      <c r="A5" s="736"/>
      <c r="B5" s="738"/>
      <c r="C5" s="740"/>
      <c r="D5" s="722"/>
      <c r="E5" s="742"/>
      <c r="F5" s="744"/>
      <c r="G5" s="244"/>
      <c r="H5" s="736"/>
      <c r="I5" s="731"/>
      <c r="J5" s="742"/>
      <c r="K5" s="724"/>
      <c r="L5" s="167"/>
      <c r="Q5" s="167"/>
      <c r="R5" s="498"/>
      <c r="S5" s="168"/>
      <c r="T5" s="168"/>
      <c r="U5" s="168"/>
      <c r="V5" s="498"/>
      <c r="W5" s="498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8"/>
      <c r="AQ5" s="167"/>
      <c r="AR5" s="167"/>
      <c r="AS5" s="167"/>
      <c r="AT5" s="167"/>
      <c r="AU5" s="167" t="s">
        <v>218</v>
      </c>
      <c r="AV5" s="168" t="s">
        <v>189</v>
      </c>
      <c r="AW5" s="243">
        <v>0.16</v>
      </c>
      <c r="AX5" s="204" t="e">
        <f>AX$6*AW5</f>
        <v>#REF!</v>
      </c>
      <c r="AY5" s="168" t="s">
        <v>113</v>
      </c>
      <c r="AZ5" s="168"/>
      <c r="BA5" s="181" t="s">
        <v>210</v>
      </c>
      <c r="BB5" s="177" t="s">
        <v>211</v>
      </c>
      <c r="BC5" s="194" t="e">
        <f t="shared" si="0"/>
        <v>#REF!</v>
      </c>
      <c r="BD5" s="219" t="e">
        <f>AX172+AX183+AX195+AX206</f>
        <v>#REF!</v>
      </c>
      <c r="BE5" s="234" t="e">
        <f t="shared" si="1"/>
        <v>#REF!</v>
      </c>
      <c r="BF5" s="196">
        <v>0.501</v>
      </c>
      <c r="BG5" s="197">
        <v>0</v>
      </c>
      <c r="BH5" s="198">
        <v>1</v>
      </c>
      <c r="BI5" s="179">
        <v>0</v>
      </c>
      <c r="BJ5" s="199" t="e">
        <f t="shared" si="2"/>
        <v>#REF!</v>
      </c>
      <c r="BK5" s="200" t="e">
        <f t="shared" si="3"/>
        <v>#REF!</v>
      </c>
      <c r="BL5" s="201" t="e">
        <f>BD5-'[1]YEAR 2015 EMISSIONS'!$BA58</f>
        <v>#REF!</v>
      </c>
      <c r="BM5" s="202" t="e">
        <f t="shared" si="4"/>
        <v>#REF!</v>
      </c>
      <c r="BN5" s="1" t="e">
        <f>BL5/'[1]YEAR 2015 EMISSIONS'!$BA58</f>
        <v>#REF!</v>
      </c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</row>
    <row r="6" spans="1:94" x14ac:dyDescent="0.2">
      <c r="A6" s="603" t="s">
        <v>571</v>
      </c>
      <c r="B6" s="608">
        <v>52029.786</v>
      </c>
      <c r="C6" s="556">
        <v>10019.91</v>
      </c>
      <c r="D6" s="555">
        <f>239195/258010</f>
        <v>0.92707646990426729</v>
      </c>
      <c r="E6" s="554">
        <f t="shared" ref="E6:E14" si="5">C6/B6</f>
        <v>0.19258026546563156</v>
      </c>
      <c r="F6" s="553">
        <f>E6</f>
        <v>0.19258026546563156</v>
      </c>
      <c r="G6" s="245"/>
      <c r="H6" s="528" t="s">
        <v>577</v>
      </c>
      <c r="I6" s="543">
        <v>24863</v>
      </c>
      <c r="J6" s="542">
        <v>6941.16</v>
      </c>
      <c r="K6" s="541">
        <f t="shared" ref="K6:K18" si="6">J6/I6</f>
        <v>0.27917628604754052</v>
      </c>
      <c r="L6" s="167"/>
      <c r="Q6" s="167"/>
      <c r="R6" s="557"/>
      <c r="S6" s="231"/>
      <c r="T6" s="231"/>
      <c r="U6" s="231"/>
      <c r="V6" s="231"/>
      <c r="W6" s="231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8"/>
      <c r="AQ6" s="167"/>
      <c r="AR6" s="167"/>
      <c r="AS6" s="167"/>
      <c r="AT6" s="167"/>
      <c r="AU6" s="167" t="s">
        <v>79</v>
      </c>
      <c r="AV6" s="167"/>
      <c r="AW6" s="243">
        <v>1</v>
      </c>
      <c r="AX6" s="208" t="e">
        <f>AV2*AX2</f>
        <v>#REF!</v>
      </c>
      <c r="AY6" s="168" t="s">
        <v>113</v>
      </c>
      <c r="AZ6" s="168"/>
      <c r="BA6" s="192" t="s">
        <v>298</v>
      </c>
      <c r="BB6" s="193" t="s">
        <v>284</v>
      </c>
      <c r="BC6" s="194" t="e">
        <f t="shared" si="0"/>
        <v>#REF!</v>
      </c>
      <c r="BD6" s="219" t="e">
        <f>AX216</f>
        <v>#REF!</v>
      </c>
      <c r="BE6" s="234" t="e">
        <f t="shared" si="1"/>
        <v>#REF!</v>
      </c>
      <c r="BF6" s="196">
        <v>0.97499999999999998</v>
      </c>
      <c r="BG6" s="197">
        <v>0</v>
      </c>
      <c r="BH6" s="198">
        <v>1</v>
      </c>
      <c r="BI6" s="179">
        <v>0</v>
      </c>
      <c r="BJ6" s="199" t="e">
        <f t="shared" si="2"/>
        <v>#REF!</v>
      </c>
      <c r="BK6" s="200" t="e">
        <f t="shared" si="3"/>
        <v>#REF!</v>
      </c>
      <c r="BL6" s="201" t="e">
        <f>BD6-'[1]YEAR 2015 EMISSIONS'!$BA60</f>
        <v>#REF!</v>
      </c>
      <c r="BM6" s="202" t="e">
        <f t="shared" si="4"/>
        <v>#REF!</v>
      </c>
      <c r="BN6" s="1" t="e">
        <f>BL6/'[1]YEAR 2015 EMISSIONS'!$BA60</f>
        <v>#REF!</v>
      </c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</row>
    <row r="7" spans="1:94" ht="13.5" thickBot="1" x14ac:dyDescent="0.25">
      <c r="A7" s="604" t="s">
        <v>572</v>
      </c>
      <c r="B7" s="609">
        <v>45608.125999999997</v>
      </c>
      <c r="C7" s="550">
        <v>9484.7800000000007</v>
      </c>
      <c r="D7" s="552">
        <f>216047/230140</f>
        <v>0.93876336143217176</v>
      </c>
      <c r="E7" s="548">
        <f t="shared" si="5"/>
        <v>0.20796250212078438</v>
      </c>
      <c r="F7" s="519">
        <f ca="1">SUM(C7:C$18)/SUM(B7:B$18)</f>
        <v>0.19145077460741428</v>
      </c>
      <c r="G7" s="245"/>
      <c r="H7" s="518" t="s">
        <v>578</v>
      </c>
      <c r="I7" s="538">
        <v>23620</v>
      </c>
      <c r="J7" s="537">
        <v>6605.34</v>
      </c>
      <c r="K7" s="536">
        <f t="shared" si="6"/>
        <v>0.27965029635901778</v>
      </c>
      <c r="L7" s="167"/>
      <c r="Q7" s="167"/>
      <c r="R7" s="498"/>
      <c r="S7" s="231"/>
      <c r="T7" s="231"/>
      <c r="U7" s="231"/>
      <c r="V7" s="231"/>
      <c r="W7" s="231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8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92" t="s">
        <v>297</v>
      </c>
      <c r="BB7" s="193" t="s">
        <v>287</v>
      </c>
      <c r="BC7" s="194" t="e">
        <f t="shared" si="0"/>
        <v>#REF!</v>
      </c>
      <c r="BD7" s="219" t="e">
        <f>AX218</f>
        <v>#REF!</v>
      </c>
      <c r="BE7" s="234" t="e">
        <f t="shared" si="1"/>
        <v>#REF!</v>
      </c>
      <c r="BF7" s="196">
        <v>0.97499999999999998</v>
      </c>
      <c r="BG7" s="197">
        <v>0</v>
      </c>
      <c r="BH7" s="198">
        <v>1</v>
      </c>
      <c r="BI7" s="179">
        <v>0</v>
      </c>
      <c r="BJ7" s="199" t="e">
        <f t="shared" si="2"/>
        <v>#REF!</v>
      </c>
      <c r="BK7" s="200" t="e">
        <f t="shared" si="3"/>
        <v>#REF!</v>
      </c>
      <c r="BL7" s="201" t="e">
        <f>BD7-'[1]YEAR 2015 EMISSIONS'!$BA61</f>
        <v>#REF!</v>
      </c>
      <c r="BM7" s="202" t="e">
        <f t="shared" si="4"/>
        <v>#REF!</v>
      </c>
      <c r="BN7" s="1" t="e">
        <f>BL7/'[1]YEAR 2015 EMISSIONS'!$BA61</f>
        <v>#REF!</v>
      </c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</row>
    <row r="8" spans="1:94" ht="13.5" thickBot="1" x14ac:dyDescent="0.25">
      <c r="A8" s="518" t="s">
        <v>573</v>
      </c>
      <c r="B8" s="609">
        <v>50160.266000000003</v>
      </c>
      <c r="C8" s="550">
        <v>8968.6299999999992</v>
      </c>
      <c r="D8" s="549">
        <f>209691/219514</f>
        <v>0.9552511457128019</v>
      </c>
      <c r="E8" s="548">
        <f t="shared" si="5"/>
        <v>0.17879949041737536</v>
      </c>
      <c r="F8" s="551">
        <f ca="1">SUM(C8:C$18)/SUM(B8:B$18)</f>
        <v>0.19070098741556307</v>
      </c>
      <c r="G8" s="245"/>
      <c r="H8" s="524" t="s">
        <v>579</v>
      </c>
      <c r="I8" s="538">
        <v>21110</v>
      </c>
      <c r="J8" s="537">
        <v>5942.34</v>
      </c>
      <c r="K8" s="536">
        <f t="shared" si="6"/>
        <v>0.28149407863571768</v>
      </c>
      <c r="L8" s="167"/>
      <c r="Q8" s="167"/>
      <c r="R8" s="498"/>
      <c r="S8" s="231"/>
      <c r="T8" s="231"/>
      <c r="U8" s="231"/>
      <c r="V8" s="231"/>
      <c r="W8" s="231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8"/>
      <c r="AQ8" s="167"/>
      <c r="AR8" s="167"/>
      <c r="AS8" s="167"/>
      <c r="AT8" s="167"/>
      <c r="AU8" s="239" t="s">
        <v>119</v>
      </c>
      <c r="AV8" s="167"/>
      <c r="AW8" s="167"/>
      <c r="AX8" s="167"/>
      <c r="AY8" s="168"/>
      <c r="AZ8" s="168"/>
      <c r="BA8" s="192" t="s">
        <v>299</v>
      </c>
      <c r="BB8" s="193" t="s">
        <v>294</v>
      </c>
      <c r="BC8" s="194" t="e">
        <f t="shared" si="0"/>
        <v>#REF!</v>
      </c>
      <c r="BD8" s="219" t="e">
        <f>AX228</f>
        <v>#REF!</v>
      </c>
      <c r="BE8" s="234" t="e">
        <f t="shared" si="1"/>
        <v>#REF!</v>
      </c>
      <c r="BF8" s="196">
        <v>0.86399999999999999</v>
      </c>
      <c r="BG8" s="197">
        <v>0</v>
      </c>
      <c r="BH8" s="198">
        <v>1</v>
      </c>
      <c r="BI8" s="179">
        <v>0</v>
      </c>
      <c r="BJ8" s="199" t="e">
        <f t="shared" si="2"/>
        <v>#REF!</v>
      </c>
      <c r="BK8" s="200" t="e">
        <f t="shared" si="3"/>
        <v>#REF!</v>
      </c>
      <c r="BL8" s="201" t="e">
        <f>BD8-'[1]YEAR 2015 EMISSIONS'!$BA62</f>
        <v>#REF!</v>
      </c>
      <c r="BM8" s="202" t="e">
        <f t="shared" si="4"/>
        <v>#REF!</v>
      </c>
      <c r="BN8" s="1" t="e">
        <f>BL8/'[1]YEAR 2015 EMISSIONS'!$BA62</f>
        <v>#REF!</v>
      </c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</row>
    <row r="9" spans="1:94" ht="13.5" thickBot="1" x14ac:dyDescent="0.25">
      <c r="A9" s="605" t="s">
        <v>574</v>
      </c>
      <c r="B9" s="610">
        <v>47072.631000000001</v>
      </c>
      <c r="C9" s="513">
        <v>7918.42</v>
      </c>
      <c r="D9" s="549">
        <f>207000/221123</f>
        <v>0.93613056986383147</v>
      </c>
      <c r="E9" s="548">
        <f t="shared" si="5"/>
        <v>0.16821706864016162</v>
      </c>
      <c r="F9" s="519">
        <f ca="1">SUM(C9:C$18)/SUM(B9:B$18)</f>
        <v>0.19132661290006497</v>
      </c>
      <c r="G9" s="245"/>
      <c r="H9" s="518" t="s">
        <v>580</v>
      </c>
      <c r="I9" s="540">
        <v>17614</v>
      </c>
      <c r="J9" s="537">
        <v>5373.55</v>
      </c>
      <c r="K9" s="536">
        <f t="shared" si="6"/>
        <v>0.30507266946746908</v>
      </c>
      <c r="L9" s="167"/>
      <c r="Q9" s="167"/>
      <c r="R9" s="498"/>
      <c r="S9" s="231"/>
      <c r="T9" s="231"/>
      <c r="U9" s="231"/>
      <c r="V9" s="231"/>
      <c r="W9" s="231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8"/>
      <c r="AQ9" s="167"/>
      <c r="AR9" s="167"/>
      <c r="AS9" s="167"/>
      <c r="AT9" s="167"/>
      <c r="AU9" s="230" t="s">
        <v>141</v>
      </c>
      <c r="AV9" s="188" t="e">
        <f>#REF!</f>
        <v>#REF!</v>
      </c>
      <c r="AW9" s="189" t="s">
        <v>57</v>
      </c>
      <c r="AX9" s="190">
        <v>0.91069999999999995</v>
      </c>
      <c r="AY9" s="189" t="s">
        <v>58</v>
      </c>
      <c r="AZ9" s="191" t="s">
        <v>212</v>
      </c>
      <c r="BA9" s="181" t="s">
        <v>300</v>
      </c>
      <c r="BB9" s="177" t="s">
        <v>256</v>
      </c>
      <c r="BC9" s="194" t="e">
        <f t="shared" si="0"/>
        <v>#REF!</v>
      </c>
      <c r="BD9" s="219" t="e">
        <f>AX237</f>
        <v>#REF!</v>
      </c>
      <c r="BE9" s="234" t="e">
        <f t="shared" si="1"/>
        <v>#REF!</v>
      </c>
      <c r="BF9" s="196">
        <v>0.89</v>
      </c>
      <c r="BG9" s="197">
        <v>0</v>
      </c>
      <c r="BH9" s="198">
        <v>1</v>
      </c>
      <c r="BI9" s="179">
        <v>0</v>
      </c>
      <c r="BJ9" s="199" t="e">
        <f t="shared" si="2"/>
        <v>#REF!</v>
      </c>
      <c r="BK9" s="200" t="e">
        <f t="shared" si="3"/>
        <v>#REF!</v>
      </c>
      <c r="BL9" s="201" t="e">
        <f>BD9-'[1]YEAR 2015 EMISSIONS'!$BA63</f>
        <v>#REF!</v>
      </c>
      <c r="BM9" s="202" t="e">
        <f t="shared" si="4"/>
        <v>#REF!</v>
      </c>
      <c r="BN9" s="1" t="e">
        <f>BL9/'[1]YEAR 2015 EMISSIONS'!$BA63</f>
        <v>#REF!</v>
      </c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</row>
    <row r="10" spans="1:94" x14ac:dyDescent="0.2">
      <c r="A10" s="606" t="s">
        <v>502</v>
      </c>
      <c r="B10" s="609">
        <v>48304.277999999998</v>
      </c>
      <c r="C10" s="550">
        <v>9886.49</v>
      </c>
      <c r="D10" s="549">
        <f>214271/230527</f>
        <v>0.92948331431893005</v>
      </c>
      <c r="E10" s="548">
        <f t="shared" si="5"/>
        <v>0.20467110594221075</v>
      </c>
      <c r="F10" s="551">
        <f ca="1">SUM(C10:C$18)/SUM(B10:B$18)</f>
        <v>0.19252579078620197</v>
      </c>
      <c r="G10" s="245"/>
      <c r="H10" s="524" t="s">
        <v>581</v>
      </c>
      <c r="I10" s="539">
        <v>12561</v>
      </c>
      <c r="J10" s="537">
        <v>3894.26</v>
      </c>
      <c r="K10" s="536">
        <f t="shared" si="6"/>
        <v>0.31002786402356503</v>
      </c>
      <c r="L10" s="167"/>
      <c r="Q10" s="167"/>
      <c r="R10" s="498"/>
      <c r="S10" s="231"/>
      <c r="T10" s="231"/>
      <c r="U10" s="231"/>
      <c r="V10" s="231"/>
      <c r="W10" s="231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8"/>
      <c r="AQ10" s="167"/>
      <c r="AR10" s="167"/>
      <c r="AS10" s="167"/>
      <c r="AT10" s="167"/>
      <c r="AU10" s="250" t="s">
        <v>62</v>
      </c>
      <c r="AV10" s="204"/>
      <c r="AW10" s="215">
        <f>AW13-AW11-AW12</f>
        <v>0.28000000000000003</v>
      </c>
      <c r="AX10" s="204" t="e">
        <f>AX$13*AW10</f>
        <v>#REF!</v>
      </c>
      <c r="AY10" s="168" t="s">
        <v>113</v>
      </c>
      <c r="AZ10" s="168"/>
      <c r="BA10" s="181" t="s">
        <v>213</v>
      </c>
      <c r="BB10" s="177" t="s">
        <v>214</v>
      </c>
      <c r="BC10" s="194" t="e">
        <f>BD10/BF10</f>
        <v>#REF!</v>
      </c>
      <c r="BD10" s="216" t="e">
        <f>#REF!</f>
        <v>#REF!</v>
      </c>
      <c r="BE10" s="234" t="e">
        <f>BD10/1000</f>
        <v>#REF!</v>
      </c>
      <c r="BF10" s="196">
        <v>1.095</v>
      </c>
      <c r="BG10" s="197">
        <v>0</v>
      </c>
      <c r="BH10" s="213">
        <v>1</v>
      </c>
      <c r="BI10" s="179">
        <v>0</v>
      </c>
      <c r="BJ10" s="199" t="e">
        <f t="shared" si="2"/>
        <v>#REF!</v>
      </c>
      <c r="BK10" s="200" t="e">
        <f t="shared" si="3"/>
        <v>#REF!</v>
      </c>
      <c r="BL10" s="201" t="e">
        <f>BD10-'[1]YEAR 2015 EMISSIONS'!$BA64</f>
        <v>#REF!</v>
      </c>
      <c r="BM10" s="202" t="e">
        <f t="shared" si="4"/>
        <v>#REF!</v>
      </c>
      <c r="BN10" s="1" t="e">
        <f>BL10/'[1]YEAR 2015 EMISSIONS'!$BA64</f>
        <v>#REF!</v>
      </c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</row>
    <row r="11" spans="1:94" ht="13.5" thickBot="1" x14ac:dyDescent="0.25">
      <c r="A11" s="606" t="s">
        <v>503</v>
      </c>
      <c r="B11" s="610">
        <v>51727.455999999998</v>
      </c>
      <c r="C11" s="513">
        <v>10918.71</v>
      </c>
      <c r="D11" s="552">
        <f>231120/235868</f>
        <v>0.97987009683382231</v>
      </c>
      <c r="E11" s="548">
        <f t="shared" si="5"/>
        <v>0.2110815192612604</v>
      </c>
      <c r="F11" s="519">
        <f ca="1">SUM(C11:C$18)/SUM(B11:B$18)</f>
        <v>0.19184269398674067</v>
      </c>
      <c r="G11" s="245"/>
      <c r="H11" s="518" t="s">
        <v>582</v>
      </c>
      <c r="I11" s="538">
        <v>23846</v>
      </c>
      <c r="J11" s="537">
        <v>3704.54</v>
      </c>
      <c r="K11" s="536">
        <f t="shared" si="6"/>
        <v>0.1553526796947077</v>
      </c>
      <c r="L11" s="167"/>
      <c r="Q11" s="167"/>
      <c r="R11" s="498"/>
      <c r="S11" s="231"/>
      <c r="T11" s="231"/>
      <c r="U11" s="231"/>
      <c r="V11" s="231"/>
      <c r="W11" s="231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8"/>
      <c r="AQ11" s="167"/>
      <c r="AR11" s="167"/>
      <c r="AS11" s="167"/>
      <c r="AT11" s="167"/>
      <c r="AU11" s="169" t="s">
        <v>219</v>
      </c>
      <c r="AV11" s="169" t="s">
        <v>29</v>
      </c>
      <c r="AW11" s="215">
        <v>0.6</v>
      </c>
      <c r="AX11" s="204" t="e">
        <f>AX$13*AW11</f>
        <v>#REF!</v>
      </c>
      <c r="AY11" s="168" t="s">
        <v>113</v>
      </c>
      <c r="AZ11" s="168"/>
      <c r="BA11" s="192" t="s">
        <v>345</v>
      </c>
      <c r="BB11" s="226" t="s">
        <v>346</v>
      </c>
      <c r="BC11" s="194" t="e">
        <f>BD11/BF11</f>
        <v>#REF!</v>
      </c>
      <c r="BD11" s="232" t="e">
        <f>#REF!</f>
        <v>#REF!</v>
      </c>
      <c r="BE11" s="234" t="e">
        <f>BD11/1000</f>
        <v>#REF!</v>
      </c>
      <c r="BF11" s="251">
        <v>0.95</v>
      </c>
      <c r="BG11" s="252">
        <v>1</v>
      </c>
      <c r="BH11" s="213">
        <v>0</v>
      </c>
      <c r="BI11" s="179">
        <v>0</v>
      </c>
      <c r="BJ11" s="199" t="e">
        <f t="shared" si="2"/>
        <v>#REF!</v>
      </c>
      <c r="BK11" s="200" t="e">
        <f t="shared" si="3"/>
        <v>#REF!</v>
      </c>
      <c r="BL11" s="253" t="e">
        <f>BD11</f>
        <v>#REF!</v>
      </c>
      <c r="BM11" s="254" t="e">
        <f t="shared" si="4"/>
        <v>#REF!</v>
      </c>
      <c r="BN11" s="255" t="s">
        <v>63</v>
      </c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</row>
    <row r="12" spans="1:94" ht="13.5" thickBot="1" x14ac:dyDescent="0.25">
      <c r="A12" s="607" t="s">
        <v>575</v>
      </c>
      <c r="B12" s="609">
        <v>43912.91</v>
      </c>
      <c r="C12" s="550">
        <v>8797.61</v>
      </c>
      <c r="D12" s="552">
        <f>233615/314674</f>
        <v>0.74240324907682231</v>
      </c>
      <c r="E12" s="548">
        <f t="shared" si="5"/>
        <v>0.20034222282240005</v>
      </c>
      <c r="F12" s="551">
        <f ca="1">SUM(C12:C$18)/SUM(B12:B$18)</f>
        <v>0.19060968650573892</v>
      </c>
      <c r="G12" s="245"/>
      <c r="H12" s="524" t="s">
        <v>583</v>
      </c>
      <c r="I12" s="538">
        <v>8130</v>
      </c>
      <c r="J12" s="537">
        <v>2570.9299999999998</v>
      </c>
      <c r="K12" s="536">
        <f t="shared" si="6"/>
        <v>0.31622755227552274</v>
      </c>
      <c r="L12" s="167"/>
      <c r="Q12" s="167"/>
      <c r="R12" s="498"/>
      <c r="S12" s="231"/>
      <c r="T12" s="231"/>
      <c r="U12" s="231"/>
      <c r="V12" s="231"/>
      <c r="W12" s="231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8"/>
      <c r="AQ12" s="167"/>
      <c r="AR12" s="167"/>
      <c r="AS12" s="167"/>
      <c r="AT12" s="167"/>
      <c r="AU12" s="167" t="s">
        <v>217</v>
      </c>
      <c r="AV12" s="167" t="s">
        <v>65</v>
      </c>
      <c r="AW12" s="218">
        <v>0.12</v>
      </c>
      <c r="AX12" s="221" t="e">
        <f>AX$13*AW12</f>
        <v>#REF!</v>
      </c>
      <c r="AY12" s="209" t="s">
        <v>113</v>
      </c>
      <c r="AZ12" s="209"/>
      <c r="BA12" s="228" t="s">
        <v>215</v>
      </c>
      <c r="BB12" s="228"/>
      <c r="BC12" s="256" t="e">
        <f>#REF!+#REF!+SUM(BC1:BC11)</f>
        <v>#REF!</v>
      </c>
      <c r="BD12" s="257" t="e">
        <f>#REF!+#REF!+SUM(BD1:BD11)</f>
        <v>#REF!</v>
      </c>
      <c r="BE12" s="258" t="e">
        <f>#REF!+#REF!+SUM(BE1:BE11)</f>
        <v>#REF!</v>
      </c>
      <c r="BF12" s="228"/>
      <c r="BG12" s="259"/>
      <c r="BH12" s="238"/>
      <c r="BI12" s="237"/>
      <c r="BJ12" s="260" t="e">
        <f>#REF!+#REF!+SUM(BJ1:BJ11)</f>
        <v>#REF!</v>
      </c>
      <c r="BK12" s="261" t="e">
        <f>#REF!+#REF!+SUM(BK1:BK11)</f>
        <v>#REF!</v>
      </c>
      <c r="BL12" s="262" t="e">
        <f>BD12-'[1]YEAR 2015 EMISSIONS'!$BA65</f>
        <v>#REF!</v>
      </c>
      <c r="BM12" s="254" t="e">
        <f>BL12/1000</f>
        <v>#REF!</v>
      </c>
      <c r="BN12" s="6" t="e">
        <f>BL12/'[1]YEAR 2015 EMISSIONS'!$BA65</f>
        <v>#REF!</v>
      </c>
      <c r="BO12" s="168"/>
      <c r="BP12" s="168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</row>
    <row r="13" spans="1:94" x14ac:dyDescent="0.2">
      <c r="A13" s="606" t="s">
        <v>504</v>
      </c>
      <c r="B13" s="610">
        <v>39019.428999999996</v>
      </c>
      <c r="C13" s="513">
        <v>8647.7099999999991</v>
      </c>
      <c r="D13" s="549">
        <f>231011/311567</f>
        <v>0.74144886974551216</v>
      </c>
      <c r="E13" s="548">
        <f t="shared" si="5"/>
        <v>0.22162574444643973</v>
      </c>
      <c r="F13" s="519">
        <f ca="1">SUM(C13:C$18)/SUM(B13:B$18)</f>
        <v>0.1900496965421396</v>
      </c>
      <c r="G13" s="245"/>
      <c r="H13" s="518" t="s">
        <v>584</v>
      </c>
      <c r="I13" s="538">
        <v>7167</v>
      </c>
      <c r="J13" s="537">
        <v>2286.2399999999998</v>
      </c>
      <c r="K13" s="536">
        <f t="shared" si="6"/>
        <v>0.31899539556299705</v>
      </c>
      <c r="L13" s="167"/>
      <c r="Q13" s="167"/>
      <c r="R13" s="498"/>
      <c r="S13" s="231"/>
      <c r="T13" s="231"/>
      <c r="U13" s="231"/>
      <c r="V13" s="231"/>
      <c r="W13" s="231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263"/>
      <c r="AQ13" s="167"/>
      <c r="AR13" s="167"/>
      <c r="AS13" s="167"/>
      <c r="AT13" s="167"/>
      <c r="AU13" s="167" t="s">
        <v>79</v>
      </c>
      <c r="AV13" s="167"/>
      <c r="AW13" s="215">
        <v>1</v>
      </c>
      <c r="AX13" s="204" t="e">
        <f>AV9*AX9</f>
        <v>#REF!</v>
      </c>
      <c r="AY13" s="209" t="s">
        <v>113</v>
      </c>
      <c r="AZ13" s="209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</row>
    <row r="14" spans="1:94" ht="13.5" thickBot="1" x14ac:dyDescent="0.25">
      <c r="A14" s="607" t="s">
        <v>505</v>
      </c>
      <c r="B14" s="609">
        <v>44886.775999999998</v>
      </c>
      <c r="C14" s="550">
        <v>7269.69</v>
      </c>
      <c r="D14" s="549">
        <f>208800/289442</f>
        <v>0.72138805011021201</v>
      </c>
      <c r="E14" s="548">
        <f t="shared" si="5"/>
        <v>0.16195616276829505</v>
      </c>
      <c r="F14" s="551">
        <f ca="1">SUM(C14:C$18)/SUM(B14:B$18)</f>
        <v>0.18834835233521269</v>
      </c>
      <c r="G14" s="245"/>
      <c r="H14" s="524" t="s">
        <v>585</v>
      </c>
      <c r="I14" s="539">
        <v>9353</v>
      </c>
      <c r="J14" s="537">
        <v>2933.62</v>
      </c>
      <c r="K14" s="536">
        <f t="shared" si="6"/>
        <v>0.31365551160055594</v>
      </c>
      <c r="L14" s="167"/>
      <c r="Q14" s="167"/>
      <c r="R14" s="498"/>
      <c r="S14" s="231"/>
      <c r="T14" s="231"/>
      <c r="U14" s="231"/>
      <c r="V14" s="231"/>
      <c r="W14" s="231"/>
      <c r="X14" s="167"/>
      <c r="Y14" s="264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241"/>
      <c r="AQ14" s="167"/>
      <c r="AR14" s="167"/>
      <c r="AS14" s="167"/>
      <c r="AT14" s="167"/>
      <c r="AU14" s="167"/>
      <c r="AV14" s="167"/>
      <c r="AW14" s="167"/>
      <c r="AX14" s="167"/>
      <c r="AY14" s="168"/>
      <c r="AZ14" s="168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</row>
    <row r="15" spans="1:94" ht="13.5" thickBot="1" x14ac:dyDescent="0.25">
      <c r="A15" s="518" t="s">
        <v>507</v>
      </c>
      <c r="B15" s="610">
        <v>41454.588000000003</v>
      </c>
      <c r="C15" s="513">
        <v>8224.61</v>
      </c>
      <c r="D15" s="549">
        <f>218735/298496</f>
        <v>0.73279038915094341</v>
      </c>
      <c r="E15" s="548">
        <f>E14</f>
        <v>0.16195616276829505</v>
      </c>
      <c r="F15" s="519">
        <f ca="1">SUM(C15:C$18)/SUM(B15:B$18)</f>
        <v>0.19009231260166412</v>
      </c>
      <c r="G15" s="245"/>
      <c r="H15" s="518" t="s">
        <v>586</v>
      </c>
      <c r="I15" s="538">
        <v>10099</v>
      </c>
      <c r="J15" s="537">
        <v>3190.02</v>
      </c>
      <c r="K15" s="536">
        <f t="shared" si="6"/>
        <v>0.31587483909297948</v>
      </c>
      <c r="L15" s="167"/>
      <c r="Q15" s="167"/>
      <c r="R15" s="498"/>
      <c r="S15" s="231"/>
      <c r="T15" s="231"/>
      <c r="U15" s="231"/>
      <c r="V15" s="231"/>
      <c r="W15" s="231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241"/>
      <c r="AQ15" s="167"/>
      <c r="AR15" s="167"/>
      <c r="AS15" s="167"/>
      <c r="AT15" s="167"/>
      <c r="AU15" s="230" t="s">
        <v>311</v>
      </c>
      <c r="AV15" s="188" t="e">
        <f>#REF!</f>
        <v>#REF!</v>
      </c>
      <c r="AW15" s="189" t="s">
        <v>57</v>
      </c>
      <c r="AX15" s="190">
        <v>0.93459999999999999</v>
      </c>
      <c r="AY15" s="189" t="s">
        <v>58</v>
      </c>
      <c r="AZ15" s="191" t="s">
        <v>212</v>
      </c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</row>
    <row r="16" spans="1:94" x14ac:dyDescent="0.2">
      <c r="A16" s="518" t="s">
        <v>506</v>
      </c>
      <c r="B16" s="609">
        <v>43574.811999999998</v>
      </c>
      <c r="C16" s="550">
        <v>7836.73</v>
      </c>
      <c r="D16" s="549">
        <f>210240/284891</f>
        <v>0.73796645032661612</v>
      </c>
      <c r="E16" s="548">
        <f>C16/B16</f>
        <v>0.17984541161072592</v>
      </c>
      <c r="F16" s="519">
        <f ca="1">SUM(C16:C$18)/SUM(B16:B$18)</f>
        <v>0.1895523460524928</v>
      </c>
      <c r="G16" s="168"/>
      <c r="H16" s="518" t="s">
        <v>587</v>
      </c>
      <c r="I16" s="538">
        <v>17852</v>
      </c>
      <c r="J16" s="537">
        <v>5488.62</v>
      </c>
      <c r="K16" s="536">
        <f t="shared" si="6"/>
        <v>0.30745126596459782</v>
      </c>
      <c r="L16" s="167"/>
      <c r="Q16" s="167"/>
      <c r="R16" s="498"/>
      <c r="S16" s="231"/>
      <c r="T16" s="231"/>
      <c r="U16" s="231"/>
      <c r="V16" s="231"/>
      <c r="W16" s="231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241"/>
      <c r="AQ16" s="167"/>
      <c r="AR16" s="167"/>
      <c r="AS16" s="167"/>
      <c r="AT16" s="167"/>
      <c r="AU16" s="250" t="s">
        <v>62</v>
      </c>
      <c r="AV16" s="204"/>
      <c r="AW16" s="215" t="e">
        <f>#REF!-SUM(AW17:AW18)</f>
        <v>#REF!</v>
      </c>
      <c r="AX16" s="204" t="e">
        <f>#REF!*AW16</f>
        <v>#REF!</v>
      </c>
      <c r="AY16" s="168" t="s">
        <v>113</v>
      </c>
      <c r="AZ16" s="168"/>
      <c r="BA16" s="167"/>
      <c r="BB16" s="241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</row>
    <row r="17" spans="1:94" ht="13.5" thickBot="1" x14ac:dyDescent="0.25">
      <c r="A17" s="518" t="s">
        <v>547</v>
      </c>
      <c r="B17" s="609">
        <v>43256.357000000004</v>
      </c>
      <c r="C17" s="550">
        <v>7546.89</v>
      </c>
      <c r="D17" s="602">
        <f>220967/293900</f>
        <v>0.75184416468186455</v>
      </c>
      <c r="E17" s="548">
        <f>C17/B17</f>
        <v>0.1744689225678436</v>
      </c>
      <c r="F17" s="519">
        <f ca="1">SUM(C17:C$18)/SUM(B17:B$18)</f>
        <v>0.1902641138958745</v>
      </c>
      <c r="G17" s="168"/>
      <c r="H17" s="535" t="s">
        <v>588</v>
      </c>
      <c r="I17" s="534">
        <v>20272</v>
      </c>
      <c r="J17" s="533">
        <v>6206.02</v>
      </c>
      <c r="K17" s="532">
        <f t="shared" si="6"/>
        <v>0.30613752959747437</v>
      </c>
      <c r="L17" s="167"/>
      <c r="Q17" s="167"/>
      <c r="R17" s="498"/>
      <c r="S17" s="498"/>
      <c r="T17" s="231"/>
      <c r="U17" s="231"/>
      <c r="V17" s="498"/>
      <c r="W17" s="498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241"/>
      <c r="AQ17" s="167"/>
      <c r="AR17" s="167"/>
      <c r="AS17" s="167"/>
      <c r="AT17" s="167"/>
      <c r="AU17" s="168" t="s">
        <v>74</v>
      </c>
      <c r="AV17" s="167" t="s">
        <v>29</v>
      </c>
      <c r="AW17" s="215">
        <v>0.39</v>
      </c>
      <c r="AX17" s="204" t="e">
        <f>#REF!*AW17</f>
        <v>#REF!</v>
      </c>
      <c r="AY17" s="168" t="s">
        <v>113</v>
      </c>
      <c r="AZ17" s="168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</row>
    <row r="18" spans="1:94" ht="13.5" thickBot="1" x14ac:dyDescent="0.25">
      <c r="A18" s="514" t="s">
        <v>216</v>
      </c>
      <c r="B18" s="611">
        <f ca="1">SUM(B6:B18)</f>
        <v>551007.41499999992</v>
      </c>
      <c r="C18" s="547">
        <f ca="1">SUM(C6:C18)</f>
        <v>105520.17999999998</v>
      </c>
      <c r="D18" s="546">
        <f ca="1">SUM(D6:D18)/13</f>
        <v>0.7764935485505996</v>
      </c>
      <c r="E18" s="545">
        <f ca="1">C18/B18</f>
        <v>0.19150410162810602</v>
      </c>
      <c r="F18" s="544">
        <f ca="1">E18</f>
        <v>0.19150410162810602</v>
      </c>
      <c r="G18" s="168"/>
      <c r="H18" s="514" t="s">
        <v>215</v>
      </c>
      <c r="I18" s="531">
        <f>SUM(I6:I17)</f>
        <v>196487</v>
      </c>
      <c r="J18" s="530">
        <f>SUM(J6:J17)</f>
        <v>55136.639999999999</v>
      </c>
      <c r="K18" s="529">
        <f t="shared" si="6"/>
        <v>0.28061215245792342</v>
      </c>
      <c r="L18" s="167"/>
      <c r="Q18" s="167"/>
      <c r="R18" s="498"/>
      <c r="S18" s="498"/>
      <c r="T18" s="498"/>
      <c r="U18" s="498"/>
      <c r="V18" s="498"/>
      <c r="W18" s="498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241"/>
      <c r="AQ18" s="167"/>
      <c r="AR18" s="167"/>
      <c r="AS18" s="167"/>
      <c r="AT18" s="167"/>
      <c r="AU18" s="168" t="s">
        <v>223</v>
      </c>
      <c r="AV18" s="168" t="s">
        <v>27</v>
      </c>
      <c r="AW18" s="215">
        <v>0.09</v>
      </c>
      <c r="AX18" s="204" t="e">
        <f>#REF!*AW18</f>
        <v>#REF!</v>
      </c>
      <c r="AY18" s="168" t="s">
        <v>113</v>
      </c>
      <c r="AZ18" s="168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</row>
    <row r="19" spans="1:94" ht="13.5" thickBot="1" x14ac:dyDescent="0.25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87" t="s">
        <v>318</v>
      </c>
      <c r="AV19" s="188" t="e">
        <f>#REF!</f>
        <v>#REF!</v>
      </c>
      <c r="AW19" s="189" t="s">
        <v>57</v>
      </c>
      <c r="AX19" s="190">
        <v>0.91069999999999995</v>
      </c>
      <c r="AY19" s="189" t="s">
        <v>58</v>
      </c>
      <c r="AZ19" s="191" t="s">
        <v>212</v>
      </c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</row>
    <row r="20" spans="1:94" ht="13.5" thickBot="1" x14ac:dyDescent="0.25">
      <c r="A20" s="732" t="s">
        <v>596</v>
      </c>
      <c r="B20" s="733"/>
      <c r="C20" s="733"/>
      <c r="D20" s="734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594"/>
      <c r="AV20" s="209"/>
      <c r="AW20" s="168"/>
      <c r="AX20" s="168"/>
      <c r="AY20" s="168"/>
      <c r="AZ20" s="191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</row>
    <row r="21" spans="1:94" x14ac:dyDescent="0.2">
      <c r="A21" s="719" t="s">
        <v>603</v>
      </c>
      <c r="B21" s="730" t="s">
        <v>599</v>
      </c>
      <c r="C21" s="721" t="s">
        <v>600</v>
      </c>
      <c r="D21" s="723" t="s">
        <v>601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594"/>
      <c r="AV21" s="209"/>
      <c r="AW21" s="168"/>
      <c r="AX21" s="168"/>
      <c r="AY21" s="168"/>
      <c r="AZ21" s="191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</row>
    <row r="22" spans="1:94" ht="13.5" thickBot="1" x14ac:dyDescent="0.25">
      <c r="A22" s="720"/>
      <c r="B22" s="731"/>
      <c r="C22" s="722"/>
      <c r="D22" s="724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594"/>
      <c r="AV22" s="209"/>
      <c r="AW22" s="168"/>
      <c r="AX22" s="168"/>
      <c r="AY22" s="168"/>
      <c r="AZ22" s="191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</row>
    <row r="23" spans="1:94" x14ac:dyDescent="0.2">
      <c r="A23" s="528" t="s">
        <v>501</v>
      </c>
      <c r="B23" s="523">
        <v>993.85</v>
      </c>
      <c r="C23" s="527">
        <v>3403.09</v>
      </c>
      <c r="D23" s="519">
        <f>C23/B23</f>
        <v>3.4241485133571463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594"/>
      <c r="AV23" s="209"/>
      <c r="AW23" s="168"/>
      <c r="AX23" s="168"/>
      <c r="AY23" s="168"/>
      <c r="AZ23" s="191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</row>
    <row r="24" spans="1:94" x14ac:dyDescent="0.2">
      <c r="A24" s="518" t="s">
        <v>572</v>
      </c>
      <c r="B24" s="521">
        <v>825.28</v>
      </c>
      <c r="C24" s="520">
        <v>2922.1</v>
      </c>
      <c r="D24" s="519">
        <f>C24/B24</f>
        <v>3.5407376890267543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594"/>
      <c r="AV24" s="209"/>
      <c r="AW24" s="168"/>
      <c r="AX24" s="168"/>
      <c r="AY24" s="168"/>
      <c r="AZ24" s="191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</row>
    <row r="25" spans="1:94" x14ac:dyDescent="0.2">
      <c r="A25" s="518" t="s">
        <v>589</v>
      </c>
      <c r="B25" s="521">
        <v>837.5</v>
      </c>
      <c r="C25" s="520">
        <v>2967.59</v>
      </c>
      <c r="D25" s="519">
        <f>C25/B25</f>
        <v>3.5433910447761194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594"/>
      <c r="AV25" s="209"/>
      <c r="AW25" s="168"/>
      <c r="AX25" s="168"/>
      <c r="AY25" s="168"/>
      <c r="AZ25" s="191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</row>
    <row r="26" spans="1:94" x14ac:dyDescent="0.2">
      <c r="A26" s="518" t="s">
        <v>546</v>
      </c>
      <c r="B26" s="521">
        <v>493.89</v>
      </c>
      <c r="C26" s="520">
        <v>1939.15</v>
      </c>
      <c r="D26" s="519">
        <f t="shared" ref="D26:D34" si="7">C26/B26</f>
        <v>3.9262791309805829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594"/>
      <c r="AV26" s="209"/>
      <c r="AW26" s="168"/>
      <c r="AX26" s="168"/>
      <c r="AY26" s="168"/>
      <c r="AZ26" s="191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</row>
    <row r="27" spans="1:94" x14ac:dyDescent="0.2">
      <c r="A27" s="518" t="s">
        <v>545</v>
      </c>
      <c r="B27" s="521">
        <v>655.57</v>
      </c>
      <c r="C27" s="520">
        <v>2407.08</v>
      </c>
      <c r="D27" s="519">
        <f t="shared" si="7"/>
        <v>3.6717360464938906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594"/>
      <c r="AV27" s="209"/>
      <c r="AW27" s="168"/>
      <c r="AX27" s="168"/>
      <c r="AY27" s="168"/>
      <c r="AZ27" s="191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</row>
    <row r="28" spans="1:94" x14ac:dyDescent="0.2">
      <c r="A28" s="524" t="s">
        <v>544</v>
      </c>
      <c r="B28" s="526">
        <v>760.47</v>
      </c>
      <c r="C28" s="525">
        <v>2727.67</v>
      </c>
      <c r="D28" s="519">
        <f t="shared" si="7"/>
        <v>3.5868213078753928</v>
      </c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594"/>
      <c r="AV28" s="209"/>
      <c r="AW28" s="168"/>
      <c r="AX28" s="168"/>
      <c r="AY28" s="168"/>
      <c r="AZ28" s="191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</row>
    <row r="29" spans="1:94" x14ac:dyDescent="0.2">
      <c r="A29" s="518" t="s">
        <v>590</v>
      </c>
      <c r="B29" s="521">
        <v>615.08000000000004</v>
      </c>
      <c r="C29" s="520">
        <v>2422.61</v>
      </c>
      <c r="D29" s="519">
        <f t="shared" si="7"/>
        <v>3.9386909019964884</v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594"/>
      <c r="AV29" s="209"/>
      <c r="AW29" s="168"/>
      <c r="AX29" s="168"/>
      <c r="AY29" s="168"/>
      <c r="AZ29" s="191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</row>
    <row r="30" spans="1:94" x14ac:dyDescent="0.2">
      <c r="A30" s="524" t="s">
        <v>591</v>
      </c>
      <c r="B30" s="521">
        <v>510.21</v>
      </c>
      <c r="C30" s="520">
        <v>2003.39</v>
      </c>
      <c r="D30" s="519">
        <f t="shared" si="7"/>
        <v>3.9265988514533237</v>
      </c>
      <c r="E30" s="167"/>
      <c r="F30" s="191" t="s">
        <v>449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594"/>
      <c r="AV30" s="209"/>
      <c r="AW30" s="168"/>
      <c r="AX30" s="168"/>
      <c r="AY30" s="168"/>
      <c r="AZ30" s="191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</row>
    <row r="31" spans="1:94" x14ac:dyDescent="0.2">
      <c r="A31" s="518" t="s">
        <v>592</v>
      </c>
      <c r="B31" s="523">
        <v>601.41</v>
      </c>
      <c r="C31" s="520">
        <v>2250.34</v>
      </c>
      <c r="D31" s="519">
        <f t="shared" si="7"/>
        <v>3.7417734989441485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594"/>
      <c r="AV31" s="209"/>
      <c r="AW31" s="168"/>
      <c r="AX31" s="168"/>
      <c r="AY31" s="168"/>
      <c r="AZ31" s="191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</row>
    <row r="32" spans="1:94" ht="15.75" x14ac:dyDescent="0.3">
      <c r="A32" s="518" t="s">
        <v>593</v>
      </c>
      <c r="B32" s="521">
        <v>539.77</v>
      </c>
      <c r="C32" s="520">
        <v>2071.94</v>
      </c>
      <c r="D32" s="519">
        <f t="shared" si="7"/>
        <v>3.8385608685180728</v>
      </c>
      <c r="E32" s="167"/>
      <c r="F32" s="169" t="s">
        <v>457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594"/>
      <c r="AV32" s="209"/>
      <c r="AW32" s="168"/>
      <c r="AX32" s="168"/>
      <c r="AY32" s="168"/>
      <c r="AZ32" s="191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</row>
    <row r="33" spans="1:94" x14ac:dyDescent="0.2">
      <c r="A33" s="522" t="s">
        <v>594</v>
      </c>
      <c r="B33" s="521">
        <v>641.76</v>
      </c>
      <c r="C33" s="520">
        <v>2384.11</v>
      </c>
      <c r="D33" s="519">
        <f t="shared" si="7"/>
        <v>3.7149557466965848</v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594"/>
      <c r="AV33" s="209"/>
      <c r="AW33" s="168"/>
      <c r="AX33" s="168"/>
      <c r="AY33" s="168"/>
      <c r="AZ33" s="191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</row>
    <row r="34" spans="1:94" ht="13.5" thickBot="1" x14ac:dyDescent="0.25">
      <c r="A34" s="518" t="s">
        <v>595</v>
      </c>
      <c r="B34" s="517">
        <v>466.95</v>
      </c>
      <c r="C34" s="516">
        <v>1861.19</v>
      </c>
      <c r="D34" s="515">
        <f t="shared" si="7"/>
        <v>3.9858443088125068</v>
      </c>
      <c r="E34" s="167"/>
      <c r="F34" s="273">
        <f>I18*1.15</f>
        <v>225960.05</v>
      </c>
      <c r="G34" s="169" t="s">
        <v>463</v>
      </c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594"/>
      <c r="AV34" s="209"/>
      <c r="AW34" s="168"/>
      <c r="AX34" s="168"/>
      <c r="AY34" s="168"/>
      <c r="AZ34" s="191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</row>
    <row r="35" spans="1:94" ht="13.5" thickBot="1" x14ac:dyDescent="0.25">
      <c r="A35" s="228" t="s">
        <v>215</v>
      </c>
      <c r="B35" s="265">
        <f>SUM(B23:B34)</f>
        <v>7941.7400000000007</v>
      </c>
      <c r="C35" s="266">
        <f>SUM(C23:C34)</f>
        <v>29360.26</v>
      </c>
      <c r="D35" s="267">
        <f>C35/B35</f>
        <v>3.6969555790040967</v>
      </c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594"/>
      <c r="AV35" s="209"/>
      <c r="AW35" s="168"/>
      <c r="AX35" s="168"/>
      <c r="AY35" s="168"/>
      <c r="AZ35" s="191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</row>
    <row r="36" spans="1:94" ht="13.5" thickBot="1" x14ac:dyDescent="0.2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594"/>
      <c r="AV36" s="209"/>
      <c r="AW36" s="168"/>
      <c r="AX36" s="168"/>
      <c r="AY36" s="168"/>
      <c r="AZ36" s="191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</row>
    <row r="37" spans="1:94" x14ac:dyDescent="0.2">
      <c r="A37" s="612"/>
      <c r="B37" s="613"/>
      <c r="C37" s="614"/>
      <c r="D37" s="615" t="s">
        <v>443</v>
      </c>
      <c r="E37" s="614" t="s">
        <v>444</v>
      </c>
      <c r="F37" s="613" t="s">
        <v>445</v>
      </c>
      <c r="G37" s="725" t="s">
        <v>446</v>
      </c>
      <c r="H37" s="726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250" t="s">
        <v>62</v>
      </c>
      <c r="AV37" s="204"/>
      <c r="AW37" s="215">
        <f>AW42-SUM(AW38:AW41)</f>
        <v>0.75</v>
      </c>
      <c r="AX37" s="204" t="e">
        <f>AW37*AX42</f>
        <v>#REF!</v>
      </c>
      <c r="AY37" s="168" t="s">
        <v>113</v>
      </c>
      <c r="AZ37" s="168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240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</row>
    <row r="38" spans="1:94" x14ac:dyDescent="0.2">
      <c r="A38" s="616"/>
      <c r="B38" s="617"/>
      <c r="C38" s="618"/>
      <c r="D38" s="171" t="s">
        <v>447</v>
      </c>
      <c r="E38" s="618" t="s">
        <v>443</v>
      </c>
      <c r="F38" s="619" t="s">
        <v>448</v>
      </c>
      <c r="G38" s="727"/>
      <c r="H38" s="728"/>
      <c r="I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 t="s">
        <v>218</v>
      </c>
      <c r="AV38" s="167" t="s">
        <v>189</v>
      </c>
      <c r="AW38" s="215">
        <v>7.4999999999999997E-2</v>
      </c>
      <c r="AX38" s="204" t="e">
        <f>AW38*AX$42</f>
        <v>#REF!</v>
      </c>
      <c r="AY38" s="168" t="s">
        <v>113</v>
      </c>
      <c r="AZ38" s="168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</row>
    <row r="39" spans="1:94" ht="15" thickBot="1" x14ac:dyDescent="0.25">
      <c r="A39" s="620" t="s">
        <v>450</v>
      </c>
      <c r="B39" s="621"/>
      <c r="C39" s="622" t="s">
        <v>9</v>
      </c>
      <c r="D39" s="623" t="s">
        <v>604</v>
      </c>
      <c r="E39" s="622" t="s">
        <v>451</v>
      </c>
      <c r="F39" s="624" t="s">
        <v>451</v>
      </c>
      <c r="G39" s="622" t="s">
        <v>452</v>
      </c>
      <c r="H39" s="622" t="s">
        <v>453</v>
      </c>
      <c r="I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8" t="s">
        <v>257</v>
      </c>
      <c r="AV39" s="167" t="s">
        <v>22</v>
      </c>
      <c r="AW39" s="215">
        <v>7.4999999999999997E-2</v>
      </c>
      <c r="AX39" s="204" t="e">
        <f>AW39*AX$42</f>
        <v>#REF!</v>
      </c>
      <c r="AY39" s="168" t="s">
        <v>113</v>
      </c>
      <c r="AZ39" s="168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</row>
    <row r="40" spans="1:94" x14ac:dyDescent="0.2">
      <c r="A40" s="173" t="s">
        <v>454</v>
      </c>
      <c r="B40" s="175"/>
      <c r="C40" s="174" t="s">
        <v>455</v>
      </c>
      <c r="D40" s="269">
        <v>80</v>
      </c>
      <c r="E40" s="270">
        <f t="shared" ref="E40:E47" si="8">$I$18/1000000*D40</f>
        <v>15.718959999999999</v>
      </c>
      <c r="F40" s="225">
        <v>500</v>
      </c>
      <c r="G40" s="176" t="s">
        <v>456</v>
      </c>
      <c r="H40" s="176" t="s">
        <v>456</v>
      </c>
      <c r="I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8" t="s">
        <v>339</v>
      </c>
      <c r="AV40" s="168" t="s">
        <v>458</v>
      </c>
      <c r="AW40" s="217">
        <v>7.0000000000000007E-2</v>
      </c>
      <c r="AX40" s="240" t="e">
        <f>AW40*AX$42</f>
        <v>#REF!</v>
      </c>
      <c r="AY40" s="168" t="s">
        <v>113</v>
      </c>
      <c r="AZ40" s="209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  <c r="CM40" s="167"/>
      <c r="CN40" s="167"/>
      <c r="CO40" s="167"/>
      <c r="CP40" s="167"/>
    </row>
    <row r="41" spans="1:94" ht="15.75" x14ac:dyDescent="0.3">
      <c r="A41" s="181" t="s">
        <v>459</v>
      </c>
      <c r="B41" s="178"/>
      <c r="C41" s="177" t="s">
        <v>460</v>
      </c>
      <c r="D41" s="231">
        <v>1504</v>
      </c>
      <c r="E41" s="216">
        <f t="shared" si="8"/>
        <v>295.51644799999997</v>
      </c>
      <c r="F41" s="271">
        <v>20000</v>
      </c>
      <c r="G41" s="182" t="s">
        <v>456</v>
      </c>
      <c r="H41" s="182" t="s">
        <v>456</v>
      </c>
      <c r="I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8" t="s">
        <v>340</v>
      </c>
      <c r="AV41" s="168" t="s">
        <v>194</v>
      </c>
      <c r="AW41" s="218">
        <v>0.03</v>
      </c>
      <c r="AX41" s="212" t="e">
        <f>AW41*AX$42</f>
        <v>#REF!</v>
      </c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7"/>
      <c r="CI41" s="167"/>
      <c r="CJ41" s="167"/>
      <c r="CK41" s="167"/>
      <c r="CL41" s="167"/>
      <c r="CM41" s="167"/>
      <c r="CN41" s="167"/>
      <c r="CO41" s="167"/>
      <c r="CP41" s="167"/>
    </row>
    <row r="42" spans="1:94" x14ac:dyDescent="0.2">
      <c r="A42" s="181" t="s">
        <v>461</v>
      </c>
      <c r="B42" s="178"/>
      <c r="C42" s="272" t="s">
        <v>462</v>
      </c>
      <c r="D42" s="183">
        <v>9.6</v>
      </c>
      <c r="E42" s="216">
        <f t="shared" si="8"/>
        <v>1.8862751999999998</v>
      </c>
      <c r="F42" s="271">
        <v>20000</v>
      </c>
      <c r="G42" s="182" t="s">
        <v>456</v>
      </c>
      <c r="H42" s="182" t="s">
        <v>456</v>
      </c>
      <c r="I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 t="s">
        <v>79</v>
      </c>
      <c r="AV42" s="167"/>
      <c r="AW42" s="215">
        <v>1</v>
      </c>
      <c r="AX42" s="204" t="e">
        <f>AX19*AV19</f>
        <v>#REF!</v>
      </c>
      <c r="AY42" s="209" t="s">
        <v>113</v>
      </c>
      <c r="AZ42" s="209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</row>
    <row r="43" spans="1:94" ht="13.5" thickBot="1" x14ac:dyDescent="0.25">
      <c r="A43" s="181" t="s">
        <v>464</v>
      </c>
      <c r="B43" s="178"/>
      <c r="C43" s="177" t="s">
        <v>465</v>
      </c>
      <c r="D43" s="183">
        <v>640</v>
      </c>
      <c r="E43" s="216">
        <f t="shared" si="8"/>
        <v>125.75167999999999</v>
      </c>
      <c r="F43" s="271">
        <v>20000</v>
      </c>
      <c r="G43" s="182" t="s">
        <v>456</v>
      </c>
      <c r="H43" s="182" t="s">
        <v>456</v>
      </c>
      <c r="I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</row>
    <row r="44" spans="1:94" ht="13.5" thickBot="1" x14ac:dyDescent="0.25">
      <c r="A44" s="181" t="s">
        <v>466</v>
      </c>
      <c r="B44" s="168"/>
      <c r="C44" s="177" t="s">
        <v>467</v>
      </c>
      <c r="D44" s="183">
        <f>120000*16</f>
        <v>1920000</v>
      </c>
      <c r="E44" s="195">
        <f t="shared" si="8"/>
        <v>377255.04</v>
      </c>
      <c r="F44" s="205">
        <v>50000000</v>
      </c>
      <c r="G44" s="182" t="s">
        <v>456</v>
      </c>
      <c r="H44" s="182" t="s">
        <v>456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85" t="s">
        <v>224</v>
      </c>
      <c r="AV44" s="188" t="e">
        <f>#REF!</f>
        <v>#REF!</v>
      </c>
      <c r="AW44" s="189" t="s">
        <v>57</v>
      </c>
      <c r="AX44" s="190">
        <v>0.89870000000000005</v>
      </c>
      <c r="AY44" s="189" t="s">
        <v>58</v>
      </c>
      <c r="AZ44" s="191" t="s">
        <v>212</v>
      </c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>
        <f>0.1/0.1</f>
        <v>1</v>
      </c>
      <c r="CI44" s="167"/>
      <c r="CJ44" s="167"/>
      <c r="CK44" s="167"/>
      <c r="CL44" s="167"/>
      <c r="CM44" s="167"/>
      <c r="CN44" s="167"/>
      <c r="CO44" s="167"/>
      <c r="CP44" s="167"/>
    </row>
    <row r="45" spans="1:94" ht="15.75" x14ac:dyDescent="0.3">
      <c r="A45" s="181" t="s">
        <v>468</v>
      </c>
      <c r="B45" s="168"/>
      <c r="C45" s="177" t="s">
        <v>469</v>
      </c>
      <c r="D45" s="183">
        <v>2.2000000000000002</v>
      </c>
      <c r="E45" s="216">
        <f t="shared" si="8"/>
        <v>0.43227140000000003</v>
      </c>
      <c r="F45" s="205" t="s">
        <v>63</v>
      </c>
      <c r="G45" s="182" t="s">
        <v>456</v>
      </c>
      <c r="H45" s="182" t="s">
        <v>456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250" t="s">
        <v>62</v>
      </c>
      <c r="AV45" s="204"/>
      <c r="AW45" s="215">
        <v>0.05</v>
      </c>
      <c r="AX45" s="204" t="e">
        <f>AW45*AX47</f>
        <v>#REF!</v>
      </c>
      <c r="AY45" s="168" t="s">
        <v>113</v>
      </c>
      <c r="AZ45" s="168"/>
      <c r="BA45" s="167"/>
      <c r="BB45" s="241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8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8"/>
      <c r="BZ45" s="204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</row>
    <row r="46" spans="1:94" x14ac:dyDescent="0.2">
      <c r="A46" s="181" t="s">
        <v>470</v>
      </c>
      <c r="B46" s="178"/>
      <c r="C46" s="177" t="s">
        <v>471</v>
      </c>
      <c r="D46" s="183">
        <v>36.799999999999997</v>
      </c>
      <c r="E46" s="216">
        <f t="shared" si="8"/>
        <v>7.230721599999999</v>
      </c>
      <c r="F46" s="205" t="s">
        <v>63</v>
      </c>
      <c r="G46" s="182" t="s">
        <v>456</v>
      </c>
      <c r="H46" s="182" t="s">
        <v>456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 t="s">
        <v>221</v>
      </c>
      <c r="AV46" s="167" t="s">
        <v>189</v>
      </c>
      <c r="AW46" s="218">
        <v>0.95</v>
      </c>
      <c r="AX46" s="221" t="e">
        <f>AW46*AX47</f>
        <v>#REF!</v>
      </c>
      <c r="AY46" s="168" t="s">
        <v>113</v>
      </c>
      <c r="AZ46" s="168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209"/>
      <c r="BZ46" s="204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</row>
    <row r="47" spans="1:94" ht="13.5" thickBot="1" x14ac:dyDescent="0.25">
      <c r="A47" s="206" t="s">
        <v>472</v>
      </c>
      <c r="B47" s="268"/>
      <c r="C47" s="223" t="s">
        <v>473</v>
      </c>
      <c r="D47" s="224">
        <v>84</v>
      </c>
      <c r="E47" s="232">
        <f t="shared" si="8"/>
        <v>16.504908</v>
      </c>
      <c r="F47" s="227" t="s">
        <v>63</v>
      </c>
      <c r="G47" s="246" t="s">
        <v>456</v>
      </c>
      <c r="H47" s="246" t="s">
        <v>456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 t="s">
        <v>79</v>
      </c>
      <c r="AV47" s="167"/>
      <c r="AW47" s="215">
        <f>SUM(AW45:AW46)</f>
        <v>1</v>
      </c>
      <c r="AX47" s="204" t="e">
        <f>AX44*AV44</f>
        <v>#REF!</v>
      </c>
      <c r="AY47" s="209" t="s">
        <v>113</v>
      </c>
      <c r="AZ47" s="209"/>
      <c r="BA47" s="167"/>
      <c r="BB47" s="241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209"/>
      <c r="BO47" s="168"/>
      <c r="BP47" s="167"/>
      <c r="BQ47" s="167"/>
      <c r="BR47" s="167"/>
      <c r="BS47" s="167"/>
      <c r="BT47" s="167"/>
      <c r="BU47" s="167"/>
      <c r="BV47" s="167"/>
      <c r="BW47" s="167"/>
      <c r="BX47" s="167"/>
      <c r="BY47" s="209"/>
      <c r="BZ47" s="204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</row>
    <row r="48" spans="1:94" ht="13.5" thickBo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91"/>
      <c r="AV48" s="191"/>
      <c r="AW48" s="217"/>
      <c r="AX48" s="209"/>
      <c r="AY48" s="168"/>
      <c r="AZ48" s="168"/>
      <c r="BA48" s="167"/>
      <c r="BB48" s="241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8"/>
      <c r="BO48" s="209"/>
      <c r="BP48" s="167"/>
      <c r="BQ48" s="167"/>
      <c r="BR48" s="167"/>
      <c r="BS48" s="167"/>
      <c r="BT48" s="167"/>
      <c r="BU48" s="167"/>
      <c r="BV48" s="167"/>
      <c r="BW48" s="167"/>
      <c r="BX48" s="167"/>
      <c r="BY48" s="209"/>
      <c r="BZ48" s="204"/>
      <c r="CA48" s="167"/>
      <c r="CB48" s="167"/>
      <c r="CC48" s="167"/>
      <c r="CD48" s="167"/>
      <c r="CE48" s="167"/>
      <c r="CF48" s="167"/>
      <c r="CG48" s="167"/>
      <c r="CH48" s="167"/>
      <c r="CI48" s="167"/>
      <c r="CJ48" s="167"/>
      <c r="CK48" s="167"/>
      <c r="CL48" s="167"/>
      <c r="CM48" s="167"/>
      <c r="CN48" s="167"/>
      <c r="CO48" s="167"/>
      <c r="CP48" s="167"/>
    </row>
    <row r="49" spans="1:94" ht="13.5" thickBot="1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87">
        <v>3141</v>
      </c>
      <c r="AV49" s="188" t="e">
        <f>#REF!</f>
        <v>#REF!</v>
      </c>
      <c r="AW49" s="189" t="s">
        <v>57</v>
      </c>
      <c r="AX49" s="190">
        <v>0.91069999999999995</v>
      </c>
      <c r="AY49" s="189" t="s">
        <v>58</v>
      </c>
      <c r="AZ49" s="191" t="s">
        <v>212</v>
      </c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8"/>
      <c r="BP49" s="167"/>
      <c r="BQ49" s="167"/>
      <c r="BR49" s="167"/>
      <c r="BS49" s="167"/>
      <c r="BT49" s="167"/>
      <c r="BU49" s="167"/>
      <c r="BV49" s="167"/>
      <c r="BW49" s="167"/>
      <c r="BX49" s="167"/>
      <c r="BY49" s="209"/>
      <c r="BZ49" s="204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</row>
    <row r="50" spans="1:94" x14ac:dyDescent="0.2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250" t="s">
        <v>62</v>
      </c>
      <c r="AV50" s="204"/>
      <c r="AW50" s="274">
        <f>AW58-SUM(AW51:AW56)</f>
        <v>0.48</v>
      </c>
      <c r="AX50" s="275" t="e">
        <f t="shared" ref="AX50:AX57" si="9">AX$58*AW50</f>
        <v>#REF!</v>
      </c>
      <c r="AY50" s="168" t="s">
        <v>113</v>
      </c>
      <c r="AZ50" s="168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8"/>
      <c r="BZ50" s="204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</row>
    <row r="51" spans="1:94" x14ac:dyDescent="0.2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8" t="s">
        <v>225</v>
      </c>
      <c r="AV51" s="167" t="s">
        <v>173</v>
      </c>
      <c r="AW51" s="21">
        <v>0.1</v>
      </c>
      <c r="AX51" s="209" t="e">
        <f t="shared" si="9"/>
        <v>#REF!</v>
      </c>
      <c r="AY51" s="168" t="s">
        <v>113</v>
      </c>
      <c r="AZ51" s="168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240"/>
      <c r="BZ51" s="204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</row>
    <row r="52" spans="1:94" x14ac:dyDescent="0.2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8" t="s">
        <v>70</v>
      </c>
      <c r="AV52" s="167" t="s">
        <v>20</v>
      </c>
      <c r="AW52" s="21">
        <v>0.02</v>
      </c>
      <c r="AX52" s="204" t="e">
        <f t="shared" si="9"/>
        <v>#REF!</v>
      </c>
      <c r="AY52" s="168" t="s">
        <v>113</v>
      </c>
      <c r="AZ52" s="168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240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</row>
    <row r="53" spans="1:94" ht="15.75" customHeight="1" x14ac:dyDescent="0.2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8" t="s">
        <v>222</v>
      </c>
      <c r="AV53" s="167" t="s">
        <v>194</v>
      </c>
      <c r="AW53" s="21">
        <v>7.0000000000000007E-2</v>
      </c>
      <c r="AX53" s="204" t="e">
        <f t="shared" si="9"/>
        <v>#REF!</v>
      </c>
      <c r="AY53" s="168" t="s">
        <v>113</v>
      </c>
      <c r="AZ53" s="168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204"/>
      <c r="CA53" s="204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</row>
    <row r="54" spans="1:94" x14ac:dyDescent="0.2">
      <c r="A54" s="167"/>
      <c r="B54" s="184"/>
      <c r="C54" s="184"/>
      <c r="D54" s="184"/>
      <c r="E54" s="167"/>
      <c r="F54" s="167"/>
      <c r="G54" s="184"/>
      <c r="H54" s="167"/>
      <c r="I54" s="167"/>
      <c r="J54" s="184"/>
      <c r="K54" s="184"/>
      <c r="L54" s="184"/>
      <c r="M54" s="167"/>
      <c r="N54" s="168"/>
      <c r="O54" s="167"/>
      <c r="P54" s="167"/>
      <c r="Q54" s="167"/>
      <c r="R54" s="167"/>
      <c r="S54" s="167"/>
      <c r="T54" s="184"/>
      <c r="U54" s="184"/>
      <c r="V54" s="184"/>
      <c r="W54" s="184"/>
      <c r="X54" s="184"/>
      <c r="Y54" s="184"/>
      <c r="Z54" s="167"/>
      <c r="AA54" s="167"/>
      <c r="AB54" s="167"/>
      <c r="AC54" s="167"/>
      <c r="AD54" s="167"/>
      <c r="AE54" s="167"/>
      <c r="AF54" s="167"/>
      <c r="AG54" s="184"/>
      <c r="AH54" s="184"/>
      <c r="AI54" s="184"/>
      <c r="AJ54" s="184"/>
      <c r="AK54" s="184"/>
      <c r="AL54" s="167"/>
      <c r="AM54" s="167"/>
      <c r="AN54" s="167"/>
      <c r="AO54" s="167"/>
      <c r="AP54" s="167"/>
      <c r="AQ54" s="167"/>
      <c r="AR54" s="167"/>
      <c r="AS54" s="167"/>
      <c r="AT54" s="167"/>
      <c r="AU54" s="168" t="s">
        <v>226</v>
      </c>
      <c r="AV54" s="167" t="s">
        <v>171</v>
      </c>
      <c r="AW54" s="21">
        <v>0.15</v>
      </c>
      <c r="AX54" s="204" t="e">
        <f t="shared" si="9"/>
        <v>#REF!</v>
      </c>
      <c r="AY54" s="168" t="s">
        <v>113</v>
      </c>
      <c r="AZ54" s="168"/>
      <c r="BA54" s="167"/>
      <c r="BB54" s="241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8"/>
      <c r="BO54" s="168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204"/>
      <c r="CA54" s="204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</row>
    <row r="55" spans="1:94" x14ac:dyDescent="0.2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8" t="s">
        <v>221</v>
      </c>
      <c r="AV55" s="167" t="s">
        <v>189</v>
      </c>
      <c r="AW55" s="21">
        <v>0.01</v>
      </c>
      <c r="AX55" s="204" t="e">
        <f t="shared" si="9"/>
        <v>#REF!</v>
      </c>
      <c r="AY55" s="168" t="s">
        <v>113</v>
      </c>
      <c r="AZ55" s="168"/>
      <c r="BA55" s="167"/>
      <c r="BB55" s="241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8"/>
      <c r="BO55" s="168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204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</row>
    <row r="56" spans="1:94" x14ac:dyDescent="0.2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7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7"/>
      <c r="AU56" s="168" t="s">
        <v>54</v>
      </c>
      <c r="AV56" s="167" t="s">
        <v>34</v>
      </c>
      <c r="AW56" s="21">
        <v>0.17</v>
      </c>
      <c r="AX56" s="204" t="e">
        <f t="shared" si="9"/>
        <v>#REF!</v>
      </c>
      <c r="AY56" s="168" t="s">
        <v>113</v>
      </c>
      <c r="AZ56" s="168"/>
      <c r="BA56" s="167"/>
      <c r="BB56" s="241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8"/>
      <c r="BO56" s="168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</row>
    <row r="57" spans="1:94" x14ac:dyDescent="0.2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7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7"/>
      <c r="AU57" s="168" t="s">
        <v>220</v>
      </c>
      <c r="AV57" s="167" t="s">
        <v>191</v>
      </c>
      <c r="AW57" s="19">
        <v>0.28000000000000003</v>
      </c>
      <c r="AX57" s="221" t="e">
        <f t="shared" si="9"/>
        <v>#REF!</v>
      </c>
      <c r="AY57" s="168" t="s">
        <v>113</v>
      </c>
      <c r="AZ57" s="168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</row>
    <row r="58" spans="1:94" x14ac:dyDescent="0.2">
      <c r="A58" s="167"/>
      <c r="B58" s="184"/>
      <c r="C58" s="184"/>
      <c r="D58" s="184"/>
      <c r="E58" s="167"/>
      <c r="F58" s="167"/>
      <c r="G58" s="184"/>
      <c r="H58" s="167"/>
      <c r="I58" s="167"/>
      <c r="J58" s="184"/>
      <c r="K58" s="184"/>
      <c r="L58" s="184"/>
      <c r="M58" s="168"/>
      <c r="N58" s="168"/>
      <c r="O58" s="168"/>
      <c r="P58" s="168"/>
      <c r="Q58" s="168"/>
      <c r="R58" s="168"/>
      <c r="S58" s="168"/>
      <c r="T58" s="263"/>
      <c r="U58" s="263"/>
      <c r="V58" s="263"/>
      <c r="W58" s="263"/>
      <c r="X58" s="184"/>
      <c r="Y58" s="263"/>
      <c r="Z58" s="168"/>
      <c r="AA58" s="168"/>
      <c r="AB58" s="168"/>
      <c r="AC58" s="168"/>
      <c r="AD58" s="168"/>
      <c r="AE58" s="168"/>
      <c r="AF58" s="168"/>
      <c r="AG58" s="263"/>
      <c r="AH58" s="263"/>
      <c r="AI58" s="263"/>
      <c r="AJ58" s="263"/>
      <c r="AK58" s="263"/>
      <c r="AL58" s="168"/>
      <c r="AM58" s="168"/>
      <c r="AN58" s="168"/>
      <c r="AO58" s="168"/>
      <c r="AP58" s="168"/>
      <c r="AQ58" s="168"/>
      <c r="AR58" s="168"/>
      <c r="AS58" s="168"/>
      <c r="AT58" s="167"/>
      <c r="AU58" s="167" t="s">
        <v>79</v>
      </c>
      <c r="AV58" s="167"/>
      <c r="AW58" s="21">
        <v>1</v>
      </c>
      <c r="AX58" s="204" t="e">
        <f>AX49*AV49</f>
        <v>#REF!</v>
      </c>
      <c r="AY58" s="209" t="s">
        <v>113</v>
      </c>
      <c r="AZ58" s="209"/>
      <c r="BA58" s="167"/>
      <c r="BB58" s="241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8"/>
      <c r="BO58" s="168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</row>
    <row r="59" spans="1:94" ht="13.5" thickBot="1" x14ac:dyDescent="0.25">
      <c r="A59" s="167"/>
      <c r="B59" s="184"/>
      <c r="C59" s="184"/>
      <c r="D59" s="184"/>
      <c r="E59" s="172"/>
      <c r="F59" s="172"/>
      <c r="G59" s="184"/>
      <c r="H59" s="167"/>
      <c r="I59" s="167"/>
      <c r="J59" s="184"/>
      <c r="K59" s="184"/>
      <c r="L59" s="184"/>
      <c r="M59" s="168"/>
      <c r="N59" s="168"/>
      <c r="O59" s="168"/>
      <c r="P59" s="168"/>
      <c r="Q59" s="168"/>
      <c r="R59" s="168"/>
      <c r="S59" s="168"/>
      <c r="T59" s="168"/>
      <c r="U59" s="263"/>
      <c r="V59" s="263"/>
      <c r="W59" s="263"/>
      <c r="X59" s="184"/>
      <c r="Y59" s="263"/>
      <c r="Z59" s="263"/>
      <c r="AA59" s="263"/>
      <c r="AB59" s="263"/>
      <c r="AC59" s="263"/>
      <c r="AD59" s="168"/>
      <c r="AE59" s="168"/>
      <c r="AF59" s="168"/>
      <c r="AG59" s="168"/>
      <c r="AH59" s="263"/>
      <c r="AI59" s="263"/>
      <c r="AJ59" s="263"/>
      <c r="AK59" s="263"/>
      <c r="AL59" s="263"/>
      <c r="AM59" s="168"/>
      <c r="AN59" s="168"/>
      <c r="AO59" s="168"/>
      <c r="AP59" s="168"/>
      <c r="AQ59" s="168"/>
      <c r="AR59" s="168"/>
      <c r="AS59" s="168"/>
      <c r="AT59" s="167"/>
      <c r="AU59" s="167"/>
      <c r="AV59" s="167"/>
      <c r="AW59" s="167"/>
      <c r="AX59" s="167"/>
      <c r="AY59" s="167"/>
      <c r="AZ59" s="167"/>
      <c r="BA59" s="167"/>
      <c r="BB59" s="241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8"/>
      <c r="BO59" s="168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</row>
    <row r="60" spans="1:94" ht="13.5" thickBot="1" x14ac:dyDescent="0.25">
      <c r="A60" s="167"/>
      <c r="B60" s="184"/>
      <c r="C60" s="184"/>
      <c r="D60" s="184"/>
      <c r="E60" s="172"/>
      <c r="F60" s="172"/>
      <c r="G60" s="184"/>
      <c r="H60" s="167"/>
      <c r="I60" s="167"/>
      <c r="J60" s="184"/>
      <c r="K60" s="184"/>
      <c r="L60" s="184"/>
      <c r="M60" s="168"/>
      <c r="N60" s="168"/>
      <c r="O60" s="168"/>
      <c r="P60" s="168"/>
      <c r="Q60" s="168"/>
      <c r="R60" s="168"/>
      <c r="S60" s="168"/>
      <c r="T60" s="168"/>
      <c r="U60" s="263"/>
      <c r="V60" s="263"/>
      <c r="W60" s="263"/>
      <c r="X60" s="184"/>
      <c r="Y60" s="263"/>
      <c r="Z60" s="263"/>
      <c r="AA60" s="263"/>
      <c r="AB60" s="263"/>
      <c r="AC60" s="263"/>
      <c r="AD60" s="168"/>
      <c r="AE60" s="168"/>
      <c r="AF60" s="168"/>
      <c r="AG60" s="168"/>
      <c r="AH60" s="263"/>
      <c r="AI60" s="263"/>
      <c r="AJ60" s="263"/>
      <c r="AK60" s="263"/>
      <c r="AL60" s="263"/>
      <c r="AM60" s="168"/>
      <c r="AN60" s="168"/>
      <c r="AO60" s="168"/>
      <c r="AP60" s="168"/>
      <c r="AQ60" s="168"/>
      <c r="AR60" s="168"/>
      <c r="AS60" s="168"/>
      <c r="AT60" s="167"/>
      <c r="AU60" s="187" t="s">
        <v>262</v>
      </c>
      <c r="AV60" s="188" t="e">
        <f>#REF!</f>
        <v>#REF!</v>
      </c>
      <c r="AW60" s="189" t="s">
        <v>57</v>
      </c>
      <c r="AX60" s="190">
        <v>0.89270000000000005</v>
      </c>
      <c r="AY60" s="189" t="s">
        <v>58</v>
      </c>
      <c r="AZ60" s="191" t="s">
        <v>212</v>
      </c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</row>
    <row r="61" spans="1:94" ht="12.75" customHeight="1" x14ac:dyDescent="0.2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7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7"/>
      <c r="AU61" s="250" t="s">
        <v>62</v>
      </c>
      <c r="AV61" s="204"/>
      <c r="AW61" s="215">
        <f>AW65-SUM(AW62:AW64)</f>
        <v>0.39</v>
      </c>
      <c r="AX61" s="204" t="e">
        <f>AW61*AX65</f>
        <v>#REF!</v>
      </c>
      <c r="AY61" s="168" t="s">
        <v>113</v>
      </c>
      <c r="AZ61" s="168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</row>
    <row r="62" spans="1:94" x14ac:dyDescent="0.2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8"/>
      <c r="N62" s="240"/>
      <c r="O62" s="240"/>
      <c r="P62" s="240"/>
      <c r="Q62" s="240"/>
      <c r="R62" s="240"/>
      <c r="S62" s="240"/>
      <c r="T62" s="240"/>
      <c r="U62" s="168"/>
      <c r="V62" s="168"/>
      <c r="W62" s="168"/>
      <c r="X62" s="167"/>
      <c r="Y62" s="168"/>
      <c r="Z62" s="729"/>
      <c r="AA62" s="729"/>
      <c r="AB62" s="729"/>
      <c r="AC62" s="729"/>
      <c r="AD62" s="729"/>
      <c r="AE62" s="729"/>
      <c r="AF62" s="729"/>
      <c r="AG62" s="729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7"/>
      <c r="AU62" s="167" t="s">
        <v>52</v>
      </c>
      <c r="AV62" s="167" t="s">
        <v>33</v>
      </c>
      <c r="AW62" s="215">
        <v>0.11</v>
      </c>
      <c r="AX62" s="204" t="e">
        <f>AW62*AX$65</f>
        <v>#REF!</v>
      </c>
      <c r="AY62" s="168" t="s">
        <v>113</v>
      </c>
      <c r="AZ62" s="168"/>
      <c r="BA62" s="167"/>
      <c r="BB62" s="241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8"/>
      <c r="BO62" s="168"/>
      <c r="BP62" s="167"/>
      <c r="BQ62" s="167"/>
      <c r="BR62" s="167"/>
      <c r="BS62" s="167"/>
      <c r="BT62" s="167"/>
      <c r="BU62" s="167"/>
      <c r="BV62" s="167"/>
      <c r="BW62" s="167"/>
      <c r="BX62" s="167"/>
      <c r="BY62" s="204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</row>
    <row r="63" spans="1:94" x14ac:dyDescent="0.2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8"/>
      <c r="N63" s="183"/>
      <c r="O63" s="250"/>
      <c r="P63" s="250"/>
      <c r="Q63" s="250"/>
      <c r="R63" s="250"/>
      <c r="S63" s="250"/>
      <c r="T63" s="183"/>
      <c r="U63" s="183"/>
      <c r="V63" s="183"/>
      <c r="W63" s="168"/>
      <c r="X63" s="167"/>
      <c r="Y63" s="168"/>
      <c r="Z63" s="168"/>
      <c r="AA63" s="168"/>
      <c r="AB63" s="168"/>
      <c r="AC63" s="168"/>
      <c r="AD63" s="183"/>
      <c r="AE63" s="168"/>
      <c r="AF63" s="168"/>
      <c r="AG63" s="183"/>
      <c r="AH63" s="168"/>
      <c r="AI63" s="168"/>
      <c r="AJ63" s="168"/>
      <c r="AK63" s="168"/>
      <c r="AL63" s="168"/>
      <c r="AM63" s="168"/>
      <c r="AN63" s="168"/>
      <c r="AO63" s="168"/>
      <c r="AP63" s="168"/>
      <c r="AQ63" s="183"/>
      <c r="AR63" s="183"/>
      <c r="AS63" s="168"/>
      <c r="AT63" s="167"/>
      <c r="AU63" s="168" t="s">
        <v>217</v>
      </c>
      <c r="AV63" s="167" t="s">
        <v>65</v>
      </c>
      <c r="AW63" s="215">
        <v>0.47</v>
      </c>
      <c r="AX63" s="209" t="e">
        <f>AW63*AX$65</f>
        <v>#REF!</v>
      </c>
      <c r="AY63" s="168" t="s">
        <v>113</v>
      </c>
      <c r="AZ63" s="168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204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</row>
    <row r="64" spans="1:94" x14ac:dyDescent="0.2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8"/>
      <c r="N64" s="183"/>
      <c r="O64" s="250"/>
      <c r="P64" s="250"/>
      <c r="Q64" s="250"/>
      <c r="R64" s="250"/>
      <c r="S64" s="250"/>
      <c r="T64" s="183"/>
      <c r="U64" s="183"/>
      <c r="V64" s="183"/>
      <c r="W64" s="168"/>
      <c r="X64" s="167"/>
      <c r="Y64" s="168"/>
      <c r="Z64" s="168"/>
      <c r="AA64" s="168"/>
      <c r="AB64" s="168"/>
      <c r="AC64" s="168"/>
      <c r="AD64" s="183"/>
      <c r="AE64" s="168"/>
      <c r="AF64" s="168"/>
      <c r="AG64" s="183"/>
      <c r="AH64" s="168"/>
      <c r="AI64" s="168"/>
      <c r="AJ64" s="168"/>
      <c r="AK64" s="168"/>
      <c r="AL64" s="168"/>
      <c r="AM64" s="168"/>
      <c r="AN64" s="168"/>
      <c r="AO64" s="168"/>
      <c r="AP64" s="168"/>
      <c r="AQ64" s="183"/>
      <c r="AR64" s="183"/>
      <c r="AS64" s="168"/>
      <c r="AT64" s="167"/>
      <c r="AU64" s="168" t="s">
        <v>101</v>
      </c>
      <c r="AV64" s="168" t="s">
        <v>27</v>
      </c>
      <c r="AW64" s="218">
        <v>0.03</v>
      </c>
      <c r="AX64" s="221" t="e">
        <f>AW64*AX$65</f>
        <v>#REF!</v>
      </c>
      <c r="AY64" s="168" t="s">
        <v>113</v>
      </c>
      <c r="AZ64" s="168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</row>
    <row r="65" spans="1:94" x14ac:dyDescent="0.2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8"/>
      <c r="N65" s="168"/>
      <c r="O65" s="168"/>
      <c r="P65" s="168"/>
      <c r="Q65" s="168"/>
      <c r="R65" s="168"/>
      <c r="S65" s="168"/>
      <c r="T65" s="168"/>
      <c r="U65" s="183"/>
      <c r="V65" s="168"/>
      <c r="W65" s="168"/>
      <c r="X65" s="167"/>
      <c r="Y65" s="168"/>
      <c r="Z65" s="168"/>
      <c r="AA65" s="168"/>
      <c r="AB65" s="168"/>
      <c r="AC65" s="168"/>
      <c r="AD65" s="183"/>
      <c r="AE65" s="183"/>
      <c r="AF65" s="183"/>
      <c r="AG65" s="183"/>
      <c r="AH65" s="168"/>
      <c r="AI65" s="168"/>
      <c r="AJ65" s="168"/>
      <c r="AK65" s="168"/>
      <c r="AL65" s="168"/>
      <c r="AM65" s="183"/>
      <c r="AN65" s="183"/>
      <c r="AO65" s="183"/>
      <c r="AP65" s="183"/>
      <c r="AQ65" s="183"/>
      <c r="AR65" s="183"/>
      <c r="AS65" s="168"/>
      <c r="AT65" s="167"/>
      <c r="AU65" s="167" t="s">
        <v>79</v>
      </c>
      <c r="AV65" s="167"/>
      <c r="AW65" s="215">
        <v>1</v>
      </c>
      <c r="AX65" s="204" t="e">
        <f>AX60*AV60</f>
        <v>#REF!</v>
      </c>
      <c r="AY65" s="209" t="s">
        <v>113</v>
      </c>
      <c r="AZ65" s="209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</row>
    <row r="66" spans="1:94" ht="13.5" thickBot="1" x14ac:dyDescent="0.25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8"/>
      <c r="N66" s="183"/>
      <c r="O66" s="183"/>
      <c r="P66" s="183"/>
      <c r="Q66" s="183"/>
      <c r="R66" s="183"/>
      <c r="S66" s="183"/>
      <c r="T66" s="183"/>
      <c r="U66" s="183"/>
      <c r="V66" s="183"/>
      <c r="W66" s="168"/>
      <c r="X66" s="167"/>
      <c r="Y66" s="168"/>
      <c r="Z66" s="168"/>
      <c r="AA66" s="168"/>
      <c r="AB66" s="168"/>
      <c r="AC66" s="168"/>
      <c r="AD66" s="183"/>
      <c r="AE66" s="183"/>
      <c r="AF66" s="183"/>
      <c r="AG66" s="183"/>
      <c r="AH66" s="168"/>
      <c r="AI66" s="168"/>
      <c r="AJ66" s="168"/>
      <c r="AK66" s="168"/>
      <c r="AL66" s="168"/>
      <c r="AM66" s="183"/>
      <c r="AN66" s="183"/>
      <c r="AO66" s="183"/>
      <c r="AP66" s="183"/>
      <c r="AQ66" s="183"/>
      <c r="AR66" s="183"/>
      <c r="AS66" s="168"/>
      <c r="AT66" s="167"/>
      <c r="AU66" s="167"/>
      <c r="AV66" s="167"/>
      <c r="AW66" s="167"/>
      <c r="AX66" s="167"/>
      <c r="AY66" s="167"/>
      <c r="AZ66" s="167"/>
      <c r="BA66" s="167"/>
      <c r="BB66" s="241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8"/>
      <c r="BO66" s="168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</row>
    <row r="67" spans="1:94" ht="14.25" customHeight="1" thickBot="1" x14ac:dyDescent="0.25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8"/>
      <c r="N67" s="168"/>
      <c r="O67" s="263"/>
      <c r="P67" s="263"/>
      <c r="Q67" s="263"/>
      <c r="R67" s="263"/>
      <c r="S67" s="263"/>
      <c r="T67" s="263"/>
      <c r="U67" s="168"/>
      <c r="V67" s="168"/>
      <c r="W67" s="168"/>
      <c r="X67" s="167"/>
      <c r="Y67" s="168"/>
      <c r="Z67" s="168"/>
      <c r="AA67" s="168"/>
      <c r="AB67" s="168"/>
      <c r="AC67" s="168"/>
      <c r="AD67" s="168"/>
      <c r="AE67" s="247"/>
      <c r="AF67" s="247"/>
      <c r="AG67" s="245"/>
      <c r="AH67" s="168"/>
      <c r="AI67" s="168"/>
      <c r="AJ67" s="168"/>
      <c r="AK67" s="168"/>
      <c r="AL67" s="168"/>
      <c r="AM67" s="168"/>
      <c r="AN67" s="247"/>
      <c r="AO67" s="247"/>
      <c r="AP67" s="247"/>
      <c r="AQ67" s="245"/>
      <c r="AR67" s="245"/>
      <c r="AS67" s="168"/>
      <c r="AT67" s="167"/>
      <c r="AU67" s="230">
        <v>3093</v>
      </c>
      <c r="AV67" s="188" t="e">
        <f>#REF!</f>
        <v>#REF!</v>
      </c>
      <c r="AW67" s="189" t="s">
        <v>57</v>
      </c>
      <c r="AX67" s="190">
        <v>0.89500000000000002</v>
      </c>
      <c r="AY67" s="189" t="s">
        <v>58</v>
      </c>
      <c r="AZ67" s="191" t="s">
        <v>212</v>
      </c>
      <c r="BA67" s="167"/>
      <c r="BB67" s="241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8"/>
      <c r="BO67" s="168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</row>
    <row r="68" spans="1:94" x14ac:dyDescent="0.2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8"/>
      <c r="N68" s="168"/>
      <c r="O68" s="263"/>
      <c r="P68" s="263"/>
      <c r="Q68" s="263"/>
      <c r="R68" s="263"/>
      <c r="S68" s="263"/>
      <c r="T68" s="263"/>
      <c r="U68" s="168"/>
      <c r="V68" s="168"/>
      <c r="W68" s="168"/>
      <c r="X68" s="167"/>
      <c r="Y68" s="168"/>
      <c r="Z68" s="168"/>
      <c r="AA68" s="168"/>
      <c r="AB68" s="168"/>
      <c r="AC68" s="168"/>
      <c r="AD68" s="168"/>
      <c r="AE68" s="247"/>
      <c r="AF68" s="247"/>
      <c r="AG68" s="245"/>
      <c r="AH68" s="168"/>
      <c r="AI68" s="168"/>
      <c r="AJ68" s="168"/>
      <c r="AK68" s="168"/>
      <c r="AL68" s="168"/>
      <c r="AM68" s="168"/>
      <c r="AN68" s="247"/>
      <c r="AO68" s="247"/>
      <c r="AP68" s="247"/>
      <c r="AQ68" s="245"/>
      <c r="AR68" s="245"/>
      <c r="AS68" s="168"/>
      <c r="AT68" s="167"/>
      <c r="AU68" s="250" t="s">
        <v>62</v>
      </c>
      <c r="AV68" s="204"/>
      <c r="AW68" s="215">
        <f>AW72-SUM(AW69:AW71)</f>
        <v>0.48</v>
      </c>
      <c r="AX68" s="204" t="e">
        <f>AW68*AX72</f>
        <v>#REF!</v>
      </c>
      <c r="AY68" s="168" t="s">
        <v>113</v>
      </c>
      <c r="AZ68" s="168"/>
      <c r="BA68" s="167"/>
      <c r="BB68" s="241"/>
      <c r="BC68" s="167"/>
      <c r="BD68" s="167"/>
      <c r="BE68" s="167"/>
      <c r="BF68" s="167"/>
      <c r="BG68" s="167"/>
      <c r="BH68" s="167"/>
      <c r="BI68" s="276"/>
      <c r="BJ68" s="167"/>
      <c r="BK68" s="167"/>
      <c r="BL68" s="167"/>
      <c r="BM68" s="167"/>
      <c r="BN68" s="209"/>
      <c r="BO68" s="209"/>
      <c r="BP68" s="167"/>
      <c r="BQ68" s="167"/>
      <c r="BR68" s="167"/>
      <c r="BS68" s="167"/>
      <c r="BT68" s="167"/>
      <c r="BU68" s="167"/>
      <c r="BV68" s="167"/>
      <c r="BW68" s="167"/>
      <c r="BX68" s="167"/>
      <c r="BY68" s="204"/>
      <c r="BZ68" s="204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</row>
    <row r="69" spans="1:94" x14ac:dyDescent="0.2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8"/>
      <c r="N69" s="168"/>
      <c r="O69" s="263"/>
      <c r="P69" s="263"/>
      <c r="Q69" s="263"/>
      <c r="R69" s="263"/>
      <c r="S69" s="263"/>
      <c r="T69" s="263"/>
      <c r="U69" s="168"/>
      <c r="V69" s="168"/>
      <c r="W69" s="168"/>
      <c r="X69" s="167"/>
      <c r="Y69" s="168"/>
      <c r="Z69" s="168"/>
      <c r="AA69" s="168"/>
      <c r="AB69" s="168"/>
      <c r="AC69" s="168"/>
      <c r="AD69" s="168"/>
      <c r="AE69" s="247"/>
      <c r="AF69" s="247"/>
      <c r="AG69" s="245"/>
      <c r="AH69" s="168"/>
      <c r="AI69" s="168"/>
      <c r="AJ69" s="168"/>
      <c r="AK69" s="168"/>
      <c r="AL69" s="168"/>
      <c r="AM69" s="168"/>
      <c r="AN69" s="247"/>
      <c r="AO69" s="247"/>
      <c r="AP69" s="247"/>
      <c r="AQ69" s="245"/>
      <c r="AR69" s="245"/>
      <c r="AS69" s="168"/>
      <c r="AT69" s="167"/>
      <c r="AU69" s="168" t="s">
        <v>317</v>
      </c>
      <c r="AV69" s="167" t="s">
        <v>31</v>
      </c>
      <c r="AW69" s="215">
        <v>0.02</v>
      </c>
      <c r="AX69" s="209" t="e">
        <f>AW69*AX$72</f>
        <v>#REF!</v>
      </c>
      <c r="AY69" s="168" t="s">
        <v>113</v>
      </c>
      <c r="AZ69" s="168"/>
      <c r="BA69" s="167"/>
      <c r="BB69" s="241"/>
      <c r="BC69" s="167"/>
      <c r="BD69" s="167"/>
      <c r="BE69" s="167"/>
      <c r="BF69" s="167"/>
      <c r="BG69" s="167"/>
      <c r="BH69" s="167"/>
      <c r="BI69" s="167"/>
      <c r="BJ69" s="167"/>
      <c r="BK69" s="203"/>
      <c r="BL69" s="167"/>
      <c r="BM69" s="167"/>
      <c r="BN69" s="209"/>
      <c r="BO69" s="209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204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</row>
    <row r="70" spans="1:94" x14ac:dyDescent="0.2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8"/>
      <c r="N70" s="168"/>
      <c r="O70" s="277"/>
      <c r="P70" s="277"/>
      <c r="Q70" s="277"/>
      <c r="R70" s="277"/>
      <c r="S70" s="277"/>
      <c r="T70" s="277"/>
      <c r="U70" s="168"/>
      <c r="V70" s="168"/>
      <c r="W70" s="168"/>
      <c r="X70" s="167"/>
      <c r="Y70" s="168"/>
      <c r="Z70" s="168"/>
      <c r="AA70" s="168"/>
      <c r="AB70" s="168"/>
      <c r="AC70" s="168"/>
      <c r="AD70" s="168"/>
      <c r="AE70" s="247"/>
      <c r="AF70" s="247"/>
      <c r="AG70" s="245"/>
      <c r="AH70" s="168"/>
      <c r="AI70" s="168"/>
      <c r="AJ70" s="168"/>
      <c r="AK70" s="168"/>
      <c r="AL70" s="168"/>
      <c r="AM70" s="168"/>
      <c r="AN70" s="247"/>
      <c r="AO70" s="247"/>
      <c r="AP70" s="247"/>
      <c r="AQ70" s="245"/>
      <c r="AR70" s="245"/>
      <c r="AS70" s="168"/>
      <c r="AT70" s="167"/>
      <c r="AU70" s="191" t="s">
        <v>474</v>
      </c>
      <c r="AV70" s="169" t="s">
        <v>65</v>
      </c>
      <c r="AW70" s="278">
        <v>0.46</v>
      </c>
      <c r="AX70" s="209" t="e">
        <f>AW70*AX$72</f>
        <v>#REF!</v>
      </c>
      <c r="AY70" s="167"/>
      <c r="AZ70" s="167"/>
      <c r="BA70" s="167"/>
      <c r="BB70" s="241"/>
      <c r="BC70" s="167"/>
      <c r="BD70" s="167"/>
      <c r="BE70" s="167"/>
      <c r="BF70" s="167"/>
      <c r="BG70" s="167"/>
      <c r="BH70" s="167"/>
      <c r="BI70" s="167"/>
      <c r="BJ70" s="167"/>
      <c r="BK70" s="279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</row>
    <row r="71" spans="1:94" x14ac:dyDescent="0.2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8"/>
      <c r="N71" s="168"/>
      <c r="O71" s="277"/>
      <c r="P71" s="277"/>
      <c r="Q71" s="277"/>
      <c r="R71" s="277"/>
      <c r="S71" s="277"/>
      <c r="T71" s="277"/>
      <c r="U71" s="168"/>
      <c r="V71" s="168"/>
      <c r="W71" s="168"/>
      <c r="X71" s="167"/>
      <c r="Y71" s="168"/>
      <c r="Z71" s="168"/>
      <c r="AA71" s="168"/>
      <c r="AB71" s="168"/>
      <c r="AC71" s="168"/>
      <c r="AD71" s="168"/>
      <c r="AE71" s="247"/>
      <c r="AF71" s="247"/>
      <c r="AG71" s="245"/>
      <c r="AH71" s="168"/>
      <c r="AI71" s="168"/>
      <c r="AJ71" s="168"/>
      <c r="AK71" s="168"/>
      <c r="AL71" s="168"/>
      <c r="AM71" s="168"/>
      <c r="AN71" s="247"/>
      <c r="AO71" s="247"/>
      <c r="AP71" s="247"/>
      <c r="AQ71" s="245"/>
      <c r="AR71" s="245"/>
      <c r="AS71" s="168"/>
      <c r="AT71" s="167"/>
      <c r="AU71" s="168" t="s">
        <v>101</v>
      </c>
      <c r="AV71" s="167" t="s">
        <v>27</v>
      </c>
      <c r="AW71" s="218">
        <v>0.04</v>
      </c>
      <c r="AX71" s="221" t="e">
        <f>AW71*AX$72</f>
        <v>#REF!</v>
      </c>
      <c r="AY71" s="168" t="s">
        <v>113</v>
      </c>
      <c r="AZ71" s="168"/>
      <c r="BA71" s="167"/>
      <c r="BB71" s="241"/>
      <c r="BC71" s="167"/>
      <c r="BD71" s="167"/>
      <c r="BE71" s="167"/>
      <c r="BF71" s="167"/>
      <c r="BG71" s="167"/>
      <c r="BH71" s="167"/>
      <c r="BI71" s="167"/>
      <c r="BJ71" s="167"/>
      <c r="BK71" s="279"/>
      <c r="BL71" s="167"/>
      <c r="BM71" s="167"/>
      <c r="BN71" s="209"/>
      <c r="BO71" s="209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</row>
    <row r="72" spans="1:94" x14ac:dyDescent="0.2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8"/>
      <c r="N72" s="168"/>
      <c r="O72" s="263"/>
      <c r="P72" s="263"/>
      <c r="Q72" s="263"/>
      <c r="R72" s="263"/>
      <c r="S72" s="263"/>
      <c r="T72" s="263"/>
      <c r="U72" s="168"/>
      <c r="V72" s="168"/>
      <c r="W72" s="168"/>
      <c r="X72" s="167"/>
      <c r="Y72" s="168"/>
      <c r="Z72" s="168"/>
      <c r="AA72" s="168"/>
      <c r="AB72" s="168"/>
      <c r="AC72" s="168"/>
      <c r="AD72" s="168"/>
      <c r="AE72" s="247"/>
      <c r="AF72" s="247"/>
      <c r="AG72" s="245"/>
      <c r="AH72" s="168"/>
      <c r="AI72" s="168"/>
      <c r="AJ72" s="168"/>
      <c r="AK72" s="168"/>
      <c r="AL72" s="168"/>
      <c r="AM72" s="168"/>
      <c r="AN72" s="247"/>
      <c r="AO72" s="247"/>
      <c r="AP72" s="247"/>
      <c r="AQ72" s="245"/>
      <c r="AR72" s="245"/>
      <c r="AS72" s="168"/>
      <c r="AT72" s="167"/>
      <c r="AU72" s="167" t="s">
        <v>79</v>
      </c>
      <c r="AV72" s="167"/>
      <c r="AW72" s="215">
        <v>1</v>
      </c>
      <c r="AX72" s="204" t="e">
        <f>AX67*AV67</f>
        <v>#REF!</v>
      </c>
      <c r="AY72" s="240" t="s">
        <v>113</v>
      </c>
      <c r="AZ72" s="209"/>
      <c r="BA72" s="167"/>
      <c r="BB72" s="241"/>
      <c r="BC72" s="167"/>
      <c r="BD72" s="167"/>
      <c r="BE72" s="167"/>
      <c r="BF72" s="167"/>
      <c r="BG72" s="167"/>
      <c r="BH72" s="167"/>
      <c r="BI72" s="167"/>
      <c r="BJ72" s="167"/>
      <c r="BK72" s="279"/>
      <c r="BL72" s="167"/>
      <c r="BM72" s="167"/>
      <c r="BN72" s="209"/>
      <c r="BO72" s="209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</row>
    <row r="73" spans="1:94" ht="13.5" thickBot="1" x14ac:dyDescent="0.25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8"/>
      <c r="N73" s="168"/>
      <c r="O73" s="263"/>
      <c r="P73" s="263"/>
      <c r="Q73" s="263"/>
      <c r="R73" s="263"/>
      <c r="S73" s="263"/>
      <c r="T73" s="263"/>
      <c r="U73" s="168"/>
      <c r="V73" s="168"/>
      <c r="W73" s="168"/>
      <c r="X73" s="167"/>
      <c r="Y73" s="168"/>
      <c r="Z73" s="168"/>
      <c r="AA73" s="168"/>
      <c r="AB73" s="168"/>
      <c r="AC73" s="168"/>
      <c r="AD73" s="168"/>
      <c r="AE73" s="247"/>
      <c r="AF73" s="247"/>
      <c r="AG73" s="245"/>
      <c r="AH73" s="168"/>
      <c r="AI73" s="168"/>
      <c r="AJ73" s="168"/>
      <c r="AK73" s="168"/>
      <c r="AL73" s="168"/>
      <c r="AM73" s="168"/>
      <c r="AN73" s="247"/>
      <c r="AO73" s="247"/>
      <c r="AP73" s="247"/>
      <c r="AQ73" s="245"/>
      <c r="AR73" s="245"/>
      <c r="AS73" s="168"/>
      <c r="AT73" s="167"/>
      <c r="AU73" s="167"/>
      <c r="AV73" s="167"/>
      <c r="AW73" s="167"/>
      <c r="AX73" s="167"/>
      <c r="AY73" s="167"/>
      <c r="AZ73" s="167"/>
      <c r="BA73" s="167"/>
      <c r="BB73" s="241"/>
      <c r="BC73" s="167"/>
      <c r="BD73" s="167"/>
      <c r="BE73" s="167"/>
      <c r="BF73" s="167"/>
      <c r="BG73" s="167"/>
      <c r="BH73" s="167"/>
      <c r="BI73" s="167"/>
      <c r="BJ73" s="167"/>
      <c r="BK73" s="279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7"/>
      <c r="CC73" s="167"/>
      <c r="CD73" s="167"/>
      <c r="CE73" s="167"/>
      <c r="CF73" s="1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</row>
    <row r="74" spans="1:94" ht="13.5" thickBot="1" x14ac:dyDescent="0.25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8"/>
      <c r="N74" s="168"/>
      <c r="O74" s="263"/>
      <c r="P74" s="263"/>
      <c r="Q74" s="263"/>
      <c r="R74" s="263"/>
      <c r="S74" s="263"/>
      <c r="T74" s="263"/>
      <c r="U74" s="168"/>
      <c r="V74" s="168"/>
      <c r="W74" s="168"/>
      <c r="X74" s="167"/>
      <c r="Y74" s="168"/>
      <c r="Z74" s="168"/>
      <c r="AA74" s="168"/>
      <c r="AB74" s="168"/>
      <c r="AC74" s="168"/>
      <c r="AD74" s="168"/>
      <c r="AE74" s="247"/>
      <c r="AF74" s="247"/>
      <c r="AG74" s="245"/>
      <c r="AH74" s="168"/>
      <c r="AI74" s="168"/>
      <c r="AJ74" s="168"/>
      <c r="AK74" s="168"/>
      <c r="AL74" s="168"/>
      <c r="AM74" s="168"/>
      <c r="AN74" s="247"/>
      <c r="AO74" s="247"/>
      <c r="AP74" s="247"/>
      <c r="AQ74" s="245"/>
      <c r="AR74" s="245"/>
      <c r="AS74" s="168"/>
      <c r="AT74" s="167"/>
      <c r="AU74" s="239" t="s">
        <v>120</v>
      </c>
      <c r="AV74" s="167"/>
      <c r="AW74" s="167"/>
      <c r="AX74" s="167"/>
      <c r="AY74" s="167"/>
      <c r="AZ74" s="167"/>
      <c r="BA74" s="167"/>
      <c r="BB74" s="241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</row>
    <row r="75" spans="1:94" ht="13.5" customHeight="1" thickBot="1" x14ac:dyDescent="0.25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7"/>
      <c r="Y75" s="168"/>
      <c r="Z75" s="168"/>
      <c r="AA75" s="168"/>
      <c r="AB75" s="168"/>
      <c r="AC75" s="168"/>
      <c r="AD75" s="168"/>
      <c r="AE75" s="247"/>
      <c r="AF75" s="247"/>
      <c r="AG75" s="245"/>
      <c r="AH75" s="168"/>
      <c r="AI75" s="168"/>
      <c r="AJ75" s="168"/>
      <c r="AK75" s="168"/>
      <c r="AL75" s="168"/>
      <c r="AM75" s="168"/>
      <c r="AN75" s="247"/>
      <c r="AO75" s="247"/>
      <c r="AP75" s="247"/>
      <c r="AQ75" s="245"/>
      <c r="AR75" s="245"/>
      <c r="AS75" s="168"/>
      <c r="AT75" s="167"/>
      <c r="AU75" s="187" t="s">
        <v>227</v>
      </c>
      <c r="AV75" s="188" t="e">
        <f>#REF!</f>
        <v>#REF!</v>
      </c>
      <c r="AW75" s="189" t="s">
        <v>57</v>
      </c>
      <c r="AX75" s="280">
        <v>1.091</v>
      </c>
      <c r="AY75" s="189" t="s">
        <v>58</v>
      </c>
      <c r="AZ75" s="191" t="s">
        <v>212</v>
      </c>
      <c r="BA75" s="167"/>
      <c r="BB75" s="167"/>
      <c r="BC75" s="167"/>
      <c r="BD75" s="241"/>
      <c r="BE75" s="167"/>
      <c r="BF75" s="167"/>
      <c r="BG75" s="167"/>
      <c r="BH75" s="167"/>
      <c r="BI75" s="167"/>
      <c r="BJ75" s="167"/>
      <c r="BK75" s="276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</row>
    <row r="76" spans="1:94" x14ac:dyDescent="0.2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7"/>
      <c r="Y76" s="168"/>
      <c r="Z76" s="168"/>
      <c r="AA76" s="168"/>
      <c r="AB76" s="168"/>
      <c r="AC76" s="168"/>
      <c r="AD76" s="168"/>
      <c r="AE76" s="247"/>
      <c r="AF76" s="247"/>
      <c r="AG76" s="245"/>
      <c r="AH76" s="168"/>
      <c r="AI76" s="168"/>
      <c r="AJ76" s="168"/>
      <c r="AK76" s="168"/>
      <c r="AL76" s="168"/>
      <c r="AM76" s="168"/>
      <c r="AN76" s="247"/>
      <c r="AO76" s="247"/>
      <c r="AP76" s="247"/>
      <c r="AQ76" s="245"/>
      <c r="AR76" s="245"/>
      <c r="AS76" s="168"/>
      <c r="AT76" s="167"/>
      <c r="AU76" s="250" t="s">
        <v>62</v>
      </c>
      <c r="AV76" s="204"/>
      <c r="AW76" s="215">
        <v>0.43</v>
      </c>
      <c r="AX76" s="204" t="e">
        <f>AW76*AX80</f>
        <v>#REF!</v>
      </c>
      <c r="AY76" s="168" t="s">
        <v>113</v>
      </c>
      <c r="AZ76" s="168"/>
      <c r="BA76" s="167"/>
      <c r="BB76" s="167"/>
      <c r="BC76" s="167"/>
      <c r="BD76" s="241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</row>
    <row r="77" spans="1:94" x14ac:dyDescent="0.2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7"/>
      <c r="Y77" s="168"/>
      <c r="Z77" s="168"/>
      <c r="AA77" s="168"/>
      <c r="AB77" s="168"/>
      <c r="AC77" s="168"/>
      <c r="AD77" s="168"/>
      <c r="AE77" s="247"/>
      <c r="AF77" s="247"/>
      <c r="AG77" s="245"/>
      <c r="AH77" s="168"/>
      <c r="AI77" s="168"/>
      <c r="AJ77" s="168"/>
      <c r="AK77" s="168"/>
      <c r="AL77" s="168"/>
      <c r="AM77" s="168"/>
      <c r="AN77" s="247"/>
      <c r="AO77" s="247"/>
      <c r="AP77" s="247"/>
      <c r="AQ77" s="245"/>
      <c r="AR77" s="245"/>
      <c r="AS77" s="168"/>
      <c r="AT77" s="167"/>
      <c r="AU77" s="168" t="s">
        <v>74</v>
      </c>
      <c r="AV77" s="167" t="s">
        <v>29</v>
      </c>
      <c r="AW77" s="215">
        <v>0.3</v>
      </c>
      <c r="AX77" s="204" t="e">
        <f>AW77*AX80</f>
        <v>#REF!</v>
      </c>
      <c r="AY77" s="168" t="s">
        <v>113</v>
      </c>
      <c r="AZ77" s="168"/>
      <c r="BA77" s="167"/>
      <c r="BB77" s="167"/>
      <c r="BC77" s="167"/>
      <c r="BD77" s="241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</row>
    <row r="78" spans="1:94" x14ac:dyDescent="0.2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7"/>
      <c r="Y78" s="168"/>
      <c r="Z78" s="168"/>
      <c r="AA78" s="168"/>
      <c r="AB78" s="168"/>
      <c r="AC78" s="168"/>
      <c r="AD78" s="168"/>
      <c r="AE78" s="247"/>
      <c r="AF78" s="247"/>
      <c r="AG78" s="245"/>
      <c r="AH78" s="168"/>
      <c r="AI78" s="168"/>
      <c r="AJ78" s="168"/>
      <c r="AK78" s="168"/>
      <c r="AL78" s="168"/>
      <c r="AM78" s="168"/>
      <c r="AN78" s="247"/>
      <c r="AO78" s="247"/>
      <c r="AP78" s="247"/>
      <c r="AQ78" s="245"/>
      <c r="AR78" s="245"/>
      <c r="AS78" s="168"/>
      <c r="AT78" s="167"/>
      <c r="AU78" s="168" t="s">
        <v>52</v>
      </c>
      <c r="AV78" s="204" t="s">
        <v>33</v>
      </c>
      <c r="AW78" s="215">
        <v>0.2</v>
      </c>
      <c r="AX78" s="281" t="e">
        <f>AW78*AX80</f>
        <v>#REF!</v>
      </c>
      <c r="AY78" s="168" t="s">
        <v>113</v>
      </c>
      <c r="AZ78" s="168"/>
      <c r="BA78" s="167"/>
      <c r="BB78" s="167"/>
      <c r="BC78" s="167"/>
      <c r="BD78" s="241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</row>
    <row r="79" spans="1:94" x14ac:dyDescent="0.2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7"/>
      <c r="Y79" s="168"/>
      <c r="Z79" s="168"/>
      <c r="AA79" s="168"/>
      <c r="AB79" s="168"/>
      <c r="AC79" s="168"/>
      <c r="AD79" s="168"/>
      <c r="AE79" s="247"/>
      <c r="AF79" s="247"/>
      <c r="AG79" s="245"/>
      <c r="AH79" s="168"/>
      <c r="AI79" s="168"/>
      <c r="AJ79" s="168"/>
      <c r="AK79" s="168"/>
      <c r="AL79" s="168"/>
      <c r="AM79" s="168"/>
      <c r="AN79" s="247"/>
      <c r="AO79" s="247"/>
      <c r="AP79" s="247"/>
      <c r="AQ79" s="245"/>
      <c r="AR79" s="245"/>
      <c r="AS79" s="168"/>
      <c r="AT79" s="167"/>
      <c r="AU79" s="168" t="s">
        <v>99</v>
      </c>
      <c r="AV79" s="167" t="s">
        <v>94</v>
      </c>
      <c r="AW79" s="218">
        <v>7.0000000000000007E-2</v>
      </c>
      <c r="AX79" s="221" t="e">
        <f>AW79*AX80</f>
        <v>#REF!</v>
      </c>
      <c r="AY79" s="168" t="s">
        <v>113</v>
      </c>
      <c r="AZ79" s="168"/>
      <c r="BA79" s="167"/>
      <c r="BB79" s="167"/>
      <c r="BC79" s="167"/>
      <c r="BD79" s="241"/>
      <c r="BE79" s="167"/>
      <c r="BF79" s="167"/>
      <c r="BG79" s="167"/>
      <c r="BH79" s="167"/>
      <c r="BI79" s="167"/>
      <c r="BJ79" s="167"/>
      <c r="BK79" s="276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</row>
    <row r="80" spans="1:94" x14ac:dyDescent="0.2">
      <c r="A80" s="167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8"/>
      <c r="N80" s="168"/>
      <c r="O80" s="263"/>
      <c r="P80" s="263"/>
      <c r="Q80" s="263"/>
      <c r="R80" s="263"/>
      <c r="S80" s="263"/>
      <c r="T80" s="263"/>
      <c r="U80" s="168"/>
      <c r="V80" s="168"/>
      <c r="W80" s="168"/>
      <c r="X80" s="167"/>
      <c r="Y80" s="168"/>
      <c r="Z80" s="168"/>
      <c r="AA80" s="168"/>
      <c r="AB80" s="168"/>
      <c r="AC80" s="168"/>
      <c r="AD80" s="168"/>
      <c r="AE80" s="247"/>
      <c r="AF80" s="247"/>
      <c r="AG80" s="245"/>
      <c r="AH80" s="168"/>
      <c r="AI80" s="168"/>
      <c r="AJ80" s="168"/>
      <c r="AK80" s="168"/>
      <c r="AL80" s="168"/>
      <c r="AM80" s="168"/>
      <c r="AN80" s="247"/>
      <c r="AO80" s="247"/>
      <c r="AP80" s="247"/>
      <c r="AQ80" s="245"/>
      <c r="AR80" s="245"/>
      <c r="AS80" s="168"/>
      <c r="AT80" s="167"/>
      <c r="AU80" s="167" t="s">
        <v>79</v>
      </c>
      <c r="AV80" s="167"/>
      <c r="AW80" s="203">
        <f>SUM(AW76:AW79)</f>
        <v>1</v>
      </c>
      <c r="AX80" s="204" t="e">
        <f>AV75*AX75</f>
        <v>#REF!</v>
      </c>
      <c r="AY80" s="167" t="s">
        <v>113</v>
      </c>
      <c r="AZ80" s="167"/>
      <c r="BA80" s="167"/>
      <c r="BB80" s="167"/>
      <c r="BC80" s="167"/>
      <c r="BD80" s="241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</row>
    <row r="81" spans="1:94" ht="13.5" thickBot="1" x14ac:dyDescent="0.25">
      <c r="A81" s="167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8"/>
      <c r="N81" s="168"/>
      <c r="O81" s="263"/>
      <c r="P81" s="263"/>
      <c r="Q81" s="263"/>
      <c r="R81" s="263"/>
      <c r="S81" s="263"/>
      <c r="T81" s="263"/>
      <c r="U81" s="168"/>
      <c r="V81" s="168"/>
      <c r="W81" s="168"/>
      <c r="X81" s="167"/>
      <c r="Y81" s="168"/>
      <c r="Z81" s="168"/>
      <c r="AA81" s="168"/>
      <c r="AB81" s="168"/>
      <c r="AC81" s="168"/>
      <c r="AD81" s="168"/>
      <c r="AE81" s="247"/>
      <c r="AF81" s="247"/>
      <c r="AG81" s="245"/>
      <c r="AH81" s="168"/>
      <c r="AI81" s="168"/>
      <c r="AJ81" s="168"/>
      <c r="AK81" s="168"/>
      <c r="AL81" s="168"/>
      <c r="AM81" s="168"/>
      <c r="AN81" s="247"/>
      <c r="AO81" s="247"/>
      <c r="AP81" s="247"/>
      <c r="AQ81" s="245"/>
      <c r="AR81" s="245"/>
      <c r="AS81" s="168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241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</row>
    <row r="82" spans="1:94" ht="12.75" customHeight="1" thickBot="1" x14ac:dyDescent="0.25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83"/>
      <c r="L82" s="183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7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7"/>
      <c r="AU82" s="207" t="s">
        <v>228</v>
      </c>
      <c r="AV82" s="249" t="e">
        <f>SUM(#REF!)</f>
        <v>#REF!</v>
      </c>
      <c r="AW82" s="189" t="s">
        <v>57</v>
      </c>
      <c r="AX82" s="280">
        <v>0.95399999999999996</v>
      </c>
      <c r="AY82" s="189" t="s">
        <v>58</v>
      </c>
      <c r="AZ82" s="191" t="s">
        <v>212</v>
      </c>
      <c r="BA82" s="167"/>
      <c r="BB82" s="167"/>
      <c r="BC82" s="167"/>
      <c r="BD82" s="241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8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</row>
    <row r="83" spans="1:94" x14ac:dyDescent="0.2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83"/>
      <c r="L83" s="183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7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7"/>
      <c r="AU83" s="191" t="s">
        <v>62</v>
      </c>
      <c r="AV83" s="168"/>
      <c r="AW83" s="282">
        <f>AW88-SUM(AW84:AW87)</f>
        <v>0.22999999999999998</v>
      </c>
      <c r="AX83" s="204" t="e">
        <f>AX$88*AW83</f>
        <v>#REF!</v>
      </c>
      <c r="AY83" s="168" t="s">
        <v>113</v>
      </c>
      <c r="AZ83" s="167"/>
      <c r="BA83" s="167"/>
      <c r="BB83" s="167"/>
      <c r="BC83" s="167"/>
      <c r="BD83" s="241"/>
      <c r="BE83" s="167"/>
      <c r="BF83" s="167"/>
      <c r="BG83" s="167"/>
      <c r="BH83" s="167"/>
      <c r="BI83" s="167"/>
      <c r="BJ83" s="167"/>
      <c r="BK83" s="204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8"/>
      <c r="BX83" s="168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</row>
    <row r="84" spans="1:94" x14ac:dyDescent="0.2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83"/>
      <c r="L84" s="183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7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7"/>
      <c r="AU84" s="168" t="s">
        <v>76</v>
      </c>
      <c r="AV84" s="168" t="s">
        <v>31</v>
      </c>
      <c r="AW84" s="282">
        <v>0.11</v>
      </c>
      <c r="AX84" s="204" t="e">
        <f>AX$88*AW84</f>
        <v>#REF!</v>
      </c>
      <c r="AY84" s="168" t="s">
        <v>113</v>
      </c>
      <c r="AZ84" s="167"/>
      <c r="BA84" s="167"/>
      <c r="BB84" s="167"/>
      <c r="BC84" s="167"/>
      <c r="BD84" s="241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  <c r="BU84" s="167"/>
      <c r="BV84" s="167"/>
      <c r="BW84" s="168"/>
      <c r="BX84" s="168"/>
      <c r="BY84" s="167"/>
      <c r="BZ84" s="167"/>
      <c r="CA84" s="167"/>
      <c r="CB84" s="167"/>
      <c r="CC84" s="167"/>
      <c r="CD84" s="167"/>
      <c r="CE84" s="167"/>
      <c r="CF84" s="167"/>
      <c r="CG84" s="167"/>
      <c r="CH84" s="167"/>
      <c r="CI84" s="167"/>
      <c r="CJ84" s="167"/>
      <c r="CK84" s="167"/>
      <c r="CL84" s="167"/>
      <c r="CM84" s="167"/>
      <c r="CN84" s="167"/>
      <c r="CO84" s="167"/>
      <c r="CP84" s="167"/>
    </row>
    <row r="85" spans="1:94" x14ac:dyDescent="0.2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83"/>
      <c r="L85" s="183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7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7"/>
      <c r="AU85" s="168" t="s">
        <v>229</v>
      </c>
      <c r="AV85" s="168" t="s">
        <v>94</v>
      </c>
      <c r="AW85" s="282">
        <v>0.04</v>
      </c>
      <c r="AX85" s="204" t="e">
        <f>AX$88*AW85</f>
        <v>#REF!</v>
      </c>
      <c r="AY85" s="168" t="s">
        <v>113</v>
      </c>
      <c r="AZ85" s="167"/>
      <c r="BA85" s="167"/>
      <c r="BB85" s="167"/>
      <c r="BC85" s="167"/>
      <c r="BD85" s="241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8"/>
      <c r="BX85" s="168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</row>
    <row r="86" spans="1:94" x14ac:dyDescent="0.2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83"/>
      <c r="L86" s="183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7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7"/>
      <c r="AU86" s="168" t="s">
        <v>74</v>
      </c>
      <c r="AV86" s="168" t="s">
        <v>29</v>
      </c>
      <c r="AW86" s="282">
        <v>0.2</v>
      </c>
      <c r="AX86" s="204" t="e">
        <f>AX$88*AW86</f>
        <v>#REF!</v>
      </c>
      <c r="AY86" s="168" t="s">
        <v>113</v>
      </c>
      <c r="AZ86" s="167"/>
      <c r="BA86" s="167"/>
      <c r="BB86" s="167"/>
      <c r="BC86" s="167"/>
      <c r="BD86" s="241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209"/>
      <c r="BX86" s="168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</row>
    <row r="87" spans="1:94" ht="15.75" customHeight="1" x14ac:dyDescent="0.2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7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7"/>
      <c r="AU87" s="250" t="s">
        <v>230</v>
      </c>
      <c r="AV87" s="168" t="s">
        <v>36</v>
      </c>
      <c r="AW87" s="283">
        <v>0.42</v>
      </c>
      <c r="AX87" s="221" t="e">
        <f>AX$88*AW87</f>
        <v>#REF!</v>
      </c>
      <c r="AY87" s="168" t="s">
        <v>113</v>
      </c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241"/>
      <c r="BL87" s="167"/>
      <c r="BM87" s="167"/>
      <c r="BN87" s="167"/>
      <c r="BO87" s="167"/>
      <c r="BP87" s="167"/>
      <c r="BQ87" s="167"/>
      <c r="BR87" s="167"/>
      <c r="BS87" s="167"/>
      <c r="BT87" s="167"/>
      <c r="BU87" s="167"/>
      <c r="BV87" s="167"/>
      <c r="BW87" s="209"/>
      <c r="BX87" s="209"/>
      <c r="BY87" s="167"/>
      <c r="BZ87" s="167"/>
      <c r="CA87" s="167"/>
      <c r="CB87" s="167"/>
      <c r="CC87" s="167"/>
      <c r="CD87" s="167"/>
      <c r="CE87" s="167"/>
      <c r="CF87" s="167"/>
      <c r="CG87" s="167"/>
      <c r="CH87" s="167"/>
      <c r="CI87" s="167"/>
      <c r="CJ87" s="167"/>
      <c r="CK87" s="167"/>
      <c r="CL87" s="167"/>
      <c r="CM87" s="167"/>
      <c r="CN87" s="167"/>
      <c r="CO87" s="167"/>
      <c r="CP87" s="167"/>
    </row>
    <row r="88" spans="1:94" x14ac:dyDescent="0.2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7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7"/>
      <c r="AU88" s="284" t="s">
        <v>79</v>
      </c>
      <c r="AV88" s="167"/>
      <c r="AW88" s="285">
        <v>1</v>
      </c>
      <c r="AX88" s="204" t="e">
        <f>AV82*AX82</f>
        <v>#REF!</v>
      </c>
      <c r="AY88" s="168" t="s">
        <v>113</v>
      </c>
      <c r="AZ88" s="168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241"/>
      <c r="BL88" s="167"/>
      <c r="BM88" s="167"/>
      <c r="BN88" s="167"/>
      <c r="BO88" s="167"/>
      <c r="BP88" s="167"/>
      <c r="BQ88" s="167"/>
      <c r="BR88" s="167"/>
      <c r="BS88" s="167"/>
      <c r="BT88" s="167"/>
      <c r="BU88" s="167"/>
      <c r="BV88" s="167"/>
      <c r="BW88" s="209"/>
      <c r="BX88" s="209"/>
      <c r="BY88" s="167"/>
      <c r="BZ88" s="167"/>
      <c r="CA88" s="167"/>
      <c r="CB88" s="167"/>
      <c r="CC88" s="16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</row>
    <row r="89" spans="1:94" ht="13.5" thickBot="1" x14ac:dyDescent="0.25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7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7"/>
      <c r="AU89" s="168"/>
      <c r="AV89" s="168"/>
      <c r="AW89" s="282"/>
      <c r="AX89" s="204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241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8"/>
      <c r="BX89" s="209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</row>
    <row r="90" spans="1:94" ht="13.5" thickBot="1" x14ac:dyDescent="0.25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7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7"/>
      <c r="AU90" s="187" t="s">
        <v>231</v>
      </c>
      <c r="AV90" s="188" t="e">
        <f>#REF!</f>
        <v>#REF!</v>
      </c>
      <c r="AW90" s="189" t="s">
        <v>57</v>
      </c>
      <c r="AX90" s="214">
        <v>0.97199999999999998</v>
      </c>
      <c r="AY90" s="189" t="s">
        <v>58</v>
      </c>
      <c r="AZ90" s="191" t="s">
        <v>212</v>
      </c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241"/>
      <c r="BL90" s="167"/>
      <c r="BM90" s="167"/>
      <c r="BN90" s="167"/>
      <c r="BO90" s="167"/>
      <c r="BP90" s="167"/>
      <c r="BQ90" s="167"/>
      <c r="BR90" s="191"/>
      <c r="BS90" s="167"/>
      <c r="BT90" s="167"/>
      <c r="BU90" s="167"/>
      <c r="BV90" s="167"/>
      <c r="BW90" s="209"/>
      <c r="BX90" s="168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</row>
    <row r="91" spans="1:94" x14ac:dyDescent="0.2">
      <c r="A91" s="167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 t="s">
        <v>232</v>
      </c>
      <c r="AV91" s="167"/>
      <c r="AW91" s="215">
        <v>0.39</v>
      </c>
      <c r="AX91" s="204" t="e">
        <f>AW91*AX$95</f>
        <v>#REF!</v>
      </c>
      <c r="AY91" s="167" t="s">
        <v>64</v>
      </c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209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</row>
    <row r="92" spans="1:94" x14ac:dyDescent="0.2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 t="s">
        <v>233</v>
      </c>
      <c r="AV92" s="167" t="s">
        <v>207</v>
      </c>
      <c r="AW92" s="215">
        <v>0.18</v>
      </c>
      <c r="AX92" s="204" t="e">
        <f>AW92*AX$95</f>
        <v>#REF!</v>
      </c>
      <c r="AY92" s="167" t="s">
        <v>64</v>
      </c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241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8"/>
      <c r="BX92" s="168"/>
      <c r="BY92" s="167"/>
      <c r="BZ92" s="167"/>
      <c r="CA92" s="167"/>
      <c r="CB92" s="167"/>
      <c r="CC92" s="167"/>
      <c r="CD92" s="167"/>
      <c r="CE92" s="167"/>
      <c r="CF92" s="167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</row>
    <row r="93" spans="1:94" x14ac:dyDescent="0.2">
      <c r="A93" s="167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 t="s">
        <v>70</v>
      </c>
      <c r="AV93" s="167" t="s">
        <v>20</v>
      </c>
      <c r="AW93" s="215">
        <v>0.34</v>
      </c>
      <c r="AX93" s="204" t="e">
        <f>AW93*AX$95</f>
        <v>#REF!</v>
      </c>
      <c r="AY93" s="167" t="s">
        <v>64</v>
      </c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241"/>
      <c r="BL93" s="167"/>
      <c r="BM93" s="167"/>
      <c r="BN93" s="167"/>
      <c r="BO93" s="167"/>
      <c r="BP93" s="167"/>
      <c r="BQ93" s="167"/>
      <c r="BR93" s="167"/>
      <c r="BS93" s="167"/>
      <c r="BT93" s="167"/>
      <c r="BU93" s="167"/>
      <c r="BV93" s="167"/>
      <c r="BW93" s="168"/>
      <c r="BX93" s="168"/>
      <c r="BY93" s="167"/>
      <c r="BZ93" s="167"/>
      <c r="CA93" s="167"/>
      <c r="CB93" s="167"/>
      <c r="CC93" s="167"/>
      <c r="CD93" s="167"/>
      <c r="CE93" s="167"/>
      <c r="CF93" s="167"/>
      <c r="CG93" s="167"/>
      <c r="CH93" s="167"/>
      <c r="CI93" s="167"/>
      <c r="CJ93" s="167"/>
      <c r="CK93" s="167"/>
      <c r="CL93" s="167"/>
      <c r="CM93" s="167"/>
      <c r="CN93" s="167"/>
      <c r="CO93" s="167"/>
      <c r="CP93" s="167"/>
    </row>
    <row r="94" spans="1:94" x14ac:dyDescent="0.2">
      <c r="A94" s="167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 t="s">
        <v>55</v>
      </c>
      <c r="AV94" s="167" t="s">
        <v>35</v>
      </c>
      <c r="AW94" s="218">
        <v>0.09</v>
      </c>
      <c r="AX94" s="221" t="e">
        <f>AW94*AX$95</f>
        <v>#REF!</v>
      </c>
      <c r="AY94" s="167" t="s">
        <v>64</v>
      </c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241"/>
      <c r="BL94" s="167"/>
      <c r="BM94" s="167"/>
      <c r="BN94" s="167"/>
      <c r="BO94" s="167"/>
      <c r="BP94" s="167"/>
      <c r="BQ94" s="167"/>
      <c r="BR94" s="167"/>
      <c r="BS94" s="167"/>
      <c r="BT94" s="167"/>
      <c r="BU94" s="167"/>
      <c r="BV94" s="167"/>
      <c r="BW94" s="168"/>
      <c r="BX94" s="168"/>
      <c r="BY94" s="167"/>
      <c r="BZ94" s="167"/>
      <c r="CA94" s="167"/>
      <c r="CB94" s="167"/>
      <c r="CC94" s="167"/>
      <c r="CD94" s="167"/>
      <c r="CE94" s="167"/>
      <c r="CF94" s="167"/>
      <c r="CG94" s="167"/>
      <c r="CH94" s="167"/>
      <c r="CI94" s="167"/>
      <c r="CJ94" s="167"/>
      <c r="CK94" s="167"/>
      <c r="CL94" s="167"/>
      <c r="CM94" s="167"/>
      <c r="CN94" s="167"/>
      <c r="CO94" s="167"/>
      <c r="CP94" s="167"/>
    </row>
    <row r="95" spans="1:94" x14ac:dyDescent="0.2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 t="s">
        <v>79</v>
      </c>
      <c r="AV95" s="167"/>
      <c r="AW95" s="215">
        <f>SUM(AW91:AW94)</f>
        <v>1.0000000000000002</v>
      </c>
      <c r="AX95" s="204" t="e">
        <f>AV90*AX90</f>
        <v>#REF!</v>
      </c>
      <c r="AY95" s="167" t="s">
        <v>64</v>
      </c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241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8"/>
      <c r="BX95" s="168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</row>
    <row r="96" spans="1:94" ht="13.5" thickBot="1" x14ac:dyDescent="0.25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286"/>
      <c r="AV96" s="168"/>
      <c r="AW96" s="285"/>
      <c r="AX96" s="209"/>
      <c r="AY96" s="168"/>
      <c r="AZ96" s="168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241"/>
      <c r="BL96" s="167"/>
      <c r="BM96" s="167"/>
      <c r="BN96" s="167"/>
      <c r="BO96" s="167"/>
      <c r="BP96" s="167"/>
      <c r="BQ96" s="167"/>
      <c r="BR96" s="167"/>
      <c r="BS96" s="167"/>
      <c r="BT96" s="167"/>
      <c r="BU96" s="167"/>
      <c r="BV96" s="167"/>
      <c r="BW96" s="168"/>
      <c r="BX96" s="168"/>
      <c r="BY96" s="167"/>
      <c r="BZ96" s="167"/>
      <c r="CA96" s="167"/>
      <c r="CB96" s="167"/>
      <c r="CC96" s="167"/>
      <c r="CD96" s="167"/>
      <c r="CE96" s="167"/>
      <c r="CF96" s="167"/>
      <c r="CG96" s="167"/>
      <c r="CH96" s="167"/>
      <c r="CI96" s="167"/>
      <c r="CJ96" s="167"/>
      <c r="CK96" s="167"/>
      <c r="CL96" s="167"/>
      <c r="CM96" s="167"/>
      <c r="CN96" s="167"/>
      <c r="CO96" s="167"/>
      <c r="CP96" s="167"/>
    </row>
    <row r="97" spans="1:94" ht="13.5" thickBot="1" x14ac:dyDescent="0.25">
      <c r="A97" s="167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87" t="s">
        <v>234</v>
      </c>
      <c r="AV97" s="188" t="e">
        <f>#REF!</f>
        <v>#REF!</v>
      </c>
      <c r="AW97" s="189" t="s">
        <v>57</v>
      </c>
      <c r="AX97" s="190">
        <v>1.131</v>
      </c>
      <c r="AY97" s="189" t="s">
        <v>58</v>
      </c>
      <c r="AZ97" s="191" t="s">
        <v>212</v>
      </c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241"/>
      <c r="BL97" s="167"/>
      <c r="BM97" s="167"/>
      <c r="BN97" s="167"/>
      <c r="BO97" s="167"/>
      <c r="BP97" s="167"/>
      <c r="BQ97" s="167"/>
      <c r="BR97" s="167"/>
      <c r="BS97" s="167"/>
      <c r="BT97" s="167"/>
      <c r="BU97" s="167"/>
      <c r="BV97" s="167"/>
      <c r="BW97" s="168"/>
      <c r="BX97" s="168"/>
      <c r="BY97" s="167"/>
      <c r="BZ97" s="167"/>
      <c r="CA97" s="167"/>
      <c r="CB97" s="167"/>
      <c r="CC97" s="167"/>
      <c r="CD97" s="167"/>
      <c r="CE97" s="167"/>
      <c r="CF97" s="167"/>
      <c r="CG97" s="167"/>
      <c r="CH97" s="167"/>
      <c r="CI97" s="167"/>
      <c r="CJ97" s="167"/>
      <c r="CK97" s="167"/>
      <c r="CL97" s="167"/>
      <c r="CM97" s="167"/>
      <c r="CN97" s="167"/>
      <c r="CO97" s="167"/>
      <c r="CP97" s="167"/>
    </row>
    <row r="98" spans="1:94" x14ac:dyDescent="0.2">
      <c r="A98" s="167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 t="s">
        <v>232</v>
      </c>
      <c r="AV98" s="167"/>
      <c r="AW98" s="215">
        <v>0.01</v>
      </c>
      <c r="AX98" s="204" t="e">
        <f>AW98*AX$103</f>
        <v>#REF!</v>
      </c>
      <c r="AY98" s="167" t="s">
        <v>64</v>
      </c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241"/>
      <c r="BL98" s="167"/>
      <c r="BM98" s="167"/>
      <c r="BN98" s="167"/>
      <c r="BO98" s="167"/>
      <c r="BP98" s="167"/>
      <c r="BQ98" s="167"/>
      <c r="BR98" s="167"/>
      <c r="BS98" s="167"/>
      <c r="BT98" s="167"/>
      <c r="BU98" s="167"/>
      <c r="BV98" s="167"/>
      <c r="BW98" s="168"/>
      <c r="BX98" s="168"/>
      <c r="BY98" s="167"/>
      <c r="BZ98" s="167"/>
      <c r="CA98" s="167"/>
      <c r="CB98" s="167"/>
      <c r="CC98" s="167"/>
      <c r="CD98" s="167"/>
      <c r="CE98" s="167"/>
      <c r="CF98" s="167"/>
      <c r="CG98" s="167"/>
      <c r="CH98" s="167"/>
      <c r="CI98" s="167"/>
      <c r="CJ98" s="167"/>
      <c r="CK98" s="167"/>
      <c r="CL98" s="167"/>
      <c r="CM98" s="167"/>
      <c r="CN98" s="167"/>
      <c r="CO98" s="167"/>
      <c r="CP98" s="167"/>
    </row>
    <row r="99" spans="1:94" x14ac:dyDescent="0.2">
      <c r="A99" s="167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 t="s">
        <v>233</v>
      </c>
      <c r="AV99" s="167" t="s">
        <v>207</v>
      </c>
      <c r="AW99" s="215">
        <v>0.3</v>
      </c>
      <c r="AX99" s="209" t="e">
        <f>AW99*AX$103</f>
        <v>#REF!</v>
      </c>
      <c r="AY99" s="168" t="s">
        <v>64</v>
      </c>
      <c r="AZ99" s="168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241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8"/>
      <c r="BX99" s="168"/>
      <c r="BY99" s="167"/>
      <c r="BZ99" s="167"/>
      <c r="CA99" s="167"/>
      <c r="CB99" s="167"/>
      <c r="CC99" s="167"/>
      <c r="CD99" s="167"/>
      <c r="CE99" s="167"/>
      <c r="CF99" s="167"/>
      <c r="CG99" s="167"/>
      <c r="CH99" s="167"/>
      <c r="CI99" s="167"/>
      <c r="CJ99" s="167"/>
      <c r="CK99" s="167"/>
      <c r="CL99" s="167"/>
      <c r="CM99" s="167"/>
      <c r="CN99" s="167"/>
      <c r="CO99" s="167"/>
      <c r="CP99" s="167"/>
    </row>
    <row r="100" spans="1:94" x14ac:dyDescent="0.2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 t="s">
        <v>55</v>
      </c>
      <c r="AV100" s="167" t="s">
        <v>35</v>
      </c>
      <c r="AW100" s="215">
        <v>0.08</v>
      </c>
      <c r="AX100" s="209" t="e">
        <f>AW100*AX$103</f>
        <v>#REF!</v>
      </c>
      <c r="AY100" s="168" t="s">
        <v>64</v>
      </c>
      <c r="AZ100" s="168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241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8"/>
      <c r="BX100" s="168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</row>
    <row r="101" spans="1:94" x14ac:dyDescent="0.2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 t="s">
        <v>235</v>
      </c>
      <c r="AV101" s="167" t="s">
        <v>199</v>
      </c>
      <c r="AW101" s="215">
        <v>0.13</v>
      </c>
      <c r="AX101" s="209" t="e">
        <f>AW101*AX$103</f>
        <v>#REF!</v>
      </c>
      <c r="AY101" s="168" t="s">
        <v>64</v>
      </c>
      <c r="AZ101" s="168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241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8"/>
      <c r="BX101" s="168"/>
      <c r="BY101" s="167"/>
      <c r="BZ101" s="167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</row>
    <row r="102" spans="1:94" ht="25.5" x14ac:dyDescent="0.2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287" t="s">
        <v>236</v>
      </c>
      <c r="AV102" s="167" t="s">
        <v>204</v>
      </c>
      <c r="AW102" s="218">
        <v>0.48</v>
      </c>
      <c r="AX102" s="221" t="e">
        <f>AW102*AX$103</f>
        <v>#REF!</v>
      </c>
      <c r="AY102" s="168" t="s">
        <v>64</v>
      </c>
      <c r="AZ102" s="168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241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8"/>
      <c r="BX102" s="168"/>
      <c r="BY102" s="167"/>
      <c r="BZ102" s="167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</row>
    <row r="103" spans="1:94" x14ac:dyDescent="0.2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287" t="s">
        <v>79</v>
      </c>
      <c r="AV103" s="167"/>
      <c r="AW103" s="215">
        <f>SUM(AW98:AW102)</f>
        <v>1</v>
      </c>
      <c r="AX103" s="204" t="e">
        <f>AV97*AX97</f>
        <v>#REF!</v>
      </c>
      <c r="AY103" s="168" t="s">
        <v>64</v>
      </c>
      <c r="AZ103" s="168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241"/>
      <c r="BL103" s="167"/>
      <c r="BM103" s="167"/>
      <c r="BN103" s="167"/>
      <c r="BO103" s="167"/>
      <c r="BP103" s="167"/>
      <c r="BQ103" s="167"/>
      <c r="BR103" s="167"/>
      <c r="BS103" s="167"/>
      <c r="BT103" s="167"/>
      <c r="BU103" s="167"/>
      <c r="BV103" s="167"/>
      <c r="BW103" s="168"/>
      <c r="BX103" s="168"/>
      <c r="BY103" s="167"/>
      <c r="BZ103" s="167"/>
      <c r="CA103" s="167"/>
      <c r="CB103" s="167"/>
      <c r="CC103" s="167"/>
      <c r="CD103" s="167"/>
      <c r="CE103" s="167"/>
      <c r="CF103" s="167"/>
      <c r="CG103" s="167"/>
      <c r="CH103" s="167"/>
      <c r="CI103" s="167"/>
      <c r="CJ103" s="167"/>
      <c r="CK103" s="167"/>
      <c r="CL103" s="167"/>
      <c r="CM103" s="167"/>
      <c r="CN103" s="167"/>
      <c r="CO103" s="167"/>
      <c r="CP103" s="167"/>
    </row>
    <row r="104" spans="1:94" ht="13.5" thickBot="1" x14ac:dyDescent="0.25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241"/>
      <c r="BL104" s="167"/>
      <c r="BM104" s="167"/>
      <c r="BN104" s="167"/>
      <c r="BO104" s="167"/>
      <c r="BP104" s="167"/>
      <c r="BQ104" s="167"/>
      <c r="BR104" s="167"/>
      <c r="BS104" s="167"/>
      <c r="BT104" s="167"/>
      <c r="BU104" s="167"/>
      <c r="BV104" s="167"/>
      <c r="BW104" s="168"/>
      <c r="BX104" s="168"/>
      <c r="BY104" s="167"/>
      <c r="BZ104" s="167"/>
      <c r="CA104" s="167"/>
      <c r="CB104" s="167"/>
      <c r="CC104" s="167"/>
      <c r="CD104" s="167"/>
      <c r="CE104" s="167"/>
      <c r="CF104" s="167"/>
      <c r="CG104" s="167"/>
      <c r="CH104" s="167"/>
      <c r="CI104" s="167"/>
      <c r="CJ104" s="167"/>
      <c r="CK104" s="167"/>
      <c r="CL104" s="167"/>
      <c r="CM104" s="167"/>
      <c r="CN104" s="167"/>
      <c r="CO104" s="167"/>
      <c r="CP104" s="167"/>
    </row>
    <row r="105" spans="1:94" ht="13.5" thickBot="1" x14ac:dyDescent="0.25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87" t="s">
        <v>237</v>
      </c>
      <c r="AV105" s="188" t="e">
        <f>#REF!</f>
        <v>#REF!</v>
      </c>
      <c r="AW105" s="288" t="s">
        <v>57</v>
      </c>
      <c r="AX105" s="280">
        <v>0.88600000000000001</v>
      </c>
      <c r="AY105" s="189" t="s">
        <v>58</v>
      </c>
      <c r="AZ105" s="191" t="s">
        <v>212</v>
      </c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241"/>
      <c r="BL105" s="167"/>
      <c r="BM105" s="167"/>
      <c r="BN105" s="167"/>
      <c r="BO105" s="167"/>
      <c r="BP105" s="167"/>
      <c r="BQ105" s="167"/>
      <c r="BR105" s="167"/>
      <c r="BS105" s="167"/>
      <c r="BT105" s="167"/>
      <c r="BU105" s="167"/>
      <c r="BV105" s="167"/>
      <c r="BW105" s="168"/>
      <c r="BX105" s="168"/>
      <c r="BY105" s="167"/>
      <c r="BZ105" s="167"/>
      <c r="CA105" s="167"/>
      <c r="CB105" s="167"/>
      <c r="CC105" s="167"/>
      <c r="CD105" s="167"/>
      <c r="CE105" s="167"/>
      <c r="CF105" s="167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</row>
    <row r="106" spans="1:94" x14ac:dyDescent="0.2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250" t="s">
        <v>238</v>
      </c>
      <c r="AV106" s="209"/>
      <c r="AW106" s="217">
        <v>0.03</v>
      </c>
      <c r="AX106" s="204" t="e">
        <f t="shared" ref="AX106:AX113" si="10">AW106*$AX$114</f>
        <v>#REF!</v>
      </c>
      <c r="AY106" s="167" t="s">
        <v>64</v>
      </c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241"/>
      <c r="BL106" s="167"/>
      <c r="BM106" s="167"/>
      <c r="BN106" s="167"/>
      <c r="BO106" s="167"/>
      <c r="BP106" s="167"/>
      <c r="BQ106" s="167"/>
      <c r="BR106" s="167"/>
      <c r="BS106" s="167"/>
      <c r="BT106" s="167"/>
      <c r="BU106" s="167"/>
      <c r="BV106" s="167"/>
      <c r="BW106" s="168"/>
      <c r="BX106" s="168"/>
      <c r="BY106" s="167"/>
      <c r="BZ106" s="167"/>
      <c r="CA106" s="167"/>
      <c r="CB106" s="167"/>
      <c r="CC106" s="167"/>
      <c r="CD106" s="167"/>
      <c r="CE106" s="167"/>
      <c r="CF106" s="167"/>
      <c r="CG106" s="167"/>
      <c r="CH106" s="167"/>
      <c r="CI106" s="167"/>
      <c r="CJ106" s="167"/>
      <c r="CK106" s="167"/>
      <c r="CL106" s="167"/>
      <c r="CM106" s="167"/>
      <c r="CN106" s="167"/>
      <c r="CO106" s="167"/>
      <c r="CP106" s="167"/>
    </row>
    <row r="107" spans="1:94" x14ac:dyDescent="0.2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 t="s">
        <v>239</v>
      </c>
      <c r="AV107" s="167" t="s">
        <v>94</v>
      </c>
      <c r="AW107" s="215">
        <v>0.02</v>
      </c>
      <c r="AX107" s="204" t="e">
        <f t="shared" si="10"/>
        <v>#REF!</v>
      </c>
      <c r="AY107" s="167" t="s">
        <v>64</v>
      </c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241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8"/>
      <c r="BX107" s="168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</row>
    <row r="108" spans="1:94" x14ac:dyDescent="0.2">
      <c r="A108" s="167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 t="s">
        <v>74</v>
      </c>
      <c r="AV108" s="167" t="s">
        <v>29</v>
      </c>
      <c r="AW108" s="215">
        <v>0.09</v>
      </c>
      <c r="AX108" s="209" t="e">
        <f t="shared" si="10"/>
        <v>#REF!</v>
      </c>
      <c r="AY108" s="167" t="s">
        <v>64</v>
      </c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241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8"/>
      <c r="BX108" s="168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</row>
    <row r="109" spans="1:94" x14ac:dyDescent="0.2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 t="s">
        <v>55</v>
      </c>
      <c r="AV109" s="167" t="s">
        <v>35</v>
      </c>
      <c r="AW109" s="215">
        <v>0.06</v>
      </c>
      <c r="AX109" s="209" t="e">
        <f t="shared" si="10"/>
        <v>#REF!</v>
      </c>
      <c r="AY109" s="167" t="s">
        <v>64</v>
      </c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241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8"/>
      <c r="BX109" s="168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</row>
    <row r="110" spans="1:94" x14ac:dyDescent="0.2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 t="s">
        <v>230</v>
      </c>
      <c r="AV110" s="167" t="s">
        <v>36</v>
      </c>
      <c r="AW110" s="215">
        <v>0.46</v>
      </c>
      <c r="AX110" s="209" t="e">
        <f t="shared" si="10"/>
        <v>#REF!</v>
      </c>
      <c r="AY110" s="167" t="s">
        <v>64</v>
      </c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241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8"/>
      <c r="BX110" s="168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</row>
    <row r="111" spans="1:94" x14ac:dyDescent="0.2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 t="s">
        <v>220</v>
      </c>
      <c r="AV111" s="167" t="s">
        <v>191</v>
      </c>
      <c r="AW111" s="215">
        <v>0.28000000000000003</v>
      </c>
      <c r="AX111" s="209" t="e">
        <f t="shared" si="10"/>
        <v>#REF!</v>
      </c>
      <c r="AY111" s="167" t="s">
        <v>64</v>
      </c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241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8"/>
      <c r="BX111" s="168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</row>
    <row r="112" spans="1:94" ht="25.5" x14ac:dyDescent="0.2">
      <c r="A112" s="167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287" t="s">
        <v>236</v>
      </c>
      <c r="AV112" s="167" t="s">
        <v>204</v>
      </c>
      <c r="AW112" s="215">
        <v>0.04</v>
      </c>
      <c r="AX112" s="209" t="e">
        <f t="shared" si="10"/>
        <v>#REF!</v>
      </c>
      <c r="AY112" s="167" t="s">
        <v>64</v>
      </c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241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8"/>
      <c r="BX112" s="168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</row>
    <row r="113" spans="1:94" x14ac:dyDescent="0.2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286" t="s">
        <v>240</v>
      </c>
      <c r="AV113" s="168" t="s">
        <v>475</v>
      </c>
      <c r="AW113" s="218">
        <v>0.02</v>
      </c>
      <c r="AX113" s="221" t="e">
        <f t="shared" si="10"/>
        <v>#REF!</v>
      </c>
      <c r="AY113" s="167" t="s">
        <v>64</v>
      </c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241"/>
      <c r="BL113" s="167"/>
      <c r="BM113" s="167"/>
      <c r="BN113" s="167"/>
      <c r="BO113" s="167"/>
      <c r="BP113" s="167"/>
      <c r="BQ113" s="167"/>
      <c r="BR113" s="168"/>
      <c r="BS113" s="167"/>
      <c r="BT113" s="167"/>
      <c r="BU113" s="167"/>
      <c r="BV113" s="167"/>
      <c r="BW113" s="168"/>
      <c r="BX113" s="168"/>
      <c r="BY113" s="167"/>
      <c r="BZ113" s="167"/>
      <c r="CA113" s="167"/>
      <c r="CB113" s="167"/>
      <c r="CC113" s="167"/>
      <c r="CD113" s="167"/>
      <c r="CE113" s="167"/>
      <c r="CF113" s="167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</row>
    <row r="114" spans="1:94" x14ac:dyDescent="0.2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287" t="s">
        <v>79</v>
      </c>
      <c r="AV114" s="167"/>
      <c r="AW114" s="203">
        <f>SUM(AW106:AW113)</f>
        <v>1</v>
      </c>
      <c r="AX114" s="204" t="e">
        <f>AV105*AX105</f>
        <v>#REF!</v>
      </c>
      <c r="AY114" s="167" t="s">
        <v>64</v>
      </c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241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8"/>
      <c r="BX114" s="168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</row>
    <row r="115" spans="1:94" ht="13.5" thickBot="1" x14ac:dyDescent="0.25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241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8"/>
      <c r="BX115" s="168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</row>
    <row r="116" spans="1:94" ht="15" customHeight="1" thickBot="1" x14ac:dyDescent="0.25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87" t="s">
        <v>328</v>
      </c>
      <c r="AV116" s="188" t="e">
        <f>#REF!</f>
        <v>#REF!</v>
      </c>
      <c r="AW116" s="189" t="s">
        <v>57</v>
      </c>
      <c r="AX116" s="280">
        <v>0.89900000000000002</v>
      </c>
      <c r="AY116" s="189" t="s">
        <v>58</v>
      </c>
      <c r="AZ116" s="191" t="s">
        <v>212</v>
      </c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241"/>
      <c r="BL116" s="167"/>
      <c r="BM116" s="167"/>
      <c r="BN116" s="167"/>
      <c r="BO116" s="167"/>
      <c r="BP116" s="167"/>
      <c r="BQ116" s="167"/>
      <c r="BR116" s="167"/>
      <c r="BS116" s="167"/>
      <c r="BT116" s="167"/>
      <c r="BU116" s="167"/>
      <c r="BV116" s="167"/>
      <c r="BW116" s="168"/>
      <c r="BX116" s="168"/>
      <c r="BY116" s="167"/>
      <c r="BZ116" s="167"/>
      <c r="CA116" s="167"/>
      <c r="CB116" s="167"/>
      <c r="CC116" s="167"/>
      <c r="CD116" s="167"/>
      <c r="CE116" s="167"/>
      <c r="CF116" s="167"/>
      <c r="CG116" s="167"/>
      <c r="CH116" s="167"/>
      <c r="CI116" s="167"/>
      <c r="CJ116" s="167"/>
      <c r="CK116" s="167"/>
      <c r="CL116" s="167"/>
      <c r="CM116" s="167"/>
      <c r="CN116" s="167"/>
      <c r="CO116" s="167"/>
      <c r="CP116" s="167"/>
    </row>
    <row r="117" spans="1:94" ht="14.45" customHeight="1" x14ac:dyDescent="0.2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250" t="s">
        <v>62</v>
      </c>
      <c r="AV117" s="167"/>
      <c r="AW117" s="203">
        <v>0</v>
      </c>
      <c r="AX117" s="204" t="e">
        <f>AW117*AX120</f>
        <v>#REF!</v>
      </c>
      <c r="AY117" s="168" t="s">
        <v>113</v>
      </c>
      <c r="AZ117" s="168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241"/>
      <c r="BL117" s="167"/>
      <c r="BM117" s="167"/>
      <c r="BN117" s="167"/>
      <c r="BO117" s="167"/>
      <c r="BP117" s="167"/>
      <c r="BQ117" s="167"/>
      <c r="BR117" s="167"/>
      <c r="BS117" s="167"/>
      <c r="BT117" s="167"/>
      <c r="BU117" s="167"/>
      <c r="BV117" s="167"/>
      <c r="BW117" s="168"/>
      <c r="BX117" s="168"/>
      <c r="BY117" s="167"/>
      <c r="BZ117" s="167"/>
      <c r="CA117" s="167"/>
      <c r="CB117" s="167"/>
      <c r="CC117" s="167"/>
      <c r="CD117" s="167"/>
      <c r="CE117" s="167"/>
      <c r="CF117" s="167"/>
      <c r="CG117" s="167"/>
      <c r="CH117" s="167"/>
      <c r="CI117" s="167"/>
      <c r="CJ117" s="167"/>
      <c r="CK117" s="167"/>
      <c r="CL117" s="167"/>
      <c r="CM117" s="167"/>
      <c r="CN117" s="167"/>
      <c r="CO117" s="167"/>
      <c r="CP117" s="167"/>
    </row>
    <row r="118" spans="1:94" x14ac:dyDescent="0.2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250" t="s">
        <v>70</v>
      </c>
      <c r="AV118" s="167" t="s">
        <v>20</v>
      </c>
      <c r="AW118" s="203">
        <v>0.7</v>
      </c>
      <c r="AX118" s="204" t="e">
        <f>AW118*AX$120</f>
        <v>#REF!</v>
      </c>
      <c r="AY118" s="168" t="s">
        <v>113</v>
      </c>
      <c r="AZ118" s="168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241"/>
      <c r="BL118" s="167"/>
      <c r="BM118" s="167"/>
      <c r="BN118" s="167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7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</row>
    <row r="119" spans="1:94" x14ac:dyDescent="0.2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250" t="s">
        <v>312</v>
      </c>
      <c r="AV119" s="167" t="s">
        <v>207</v>
      </c>
      <c r="AW119" s="233">
        <v>0.3</v>
      </c>
      <c r="AX119" s="221" t="e">
        <f>AW119*AX$120</f>
        <v>#REF!</v>
      </c>
      <c r="AY119" s="168" t="s">
        <v>113</v>
      </c>
      <c r="AZ119" s="168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7"/>
      <c r="CK119" s="167"/>
      <c r="CL119" s="167"/>
      <c r="CM119" s="167"/>
      <c r="CN119" s="167"/>
      <c r="CO119" s="167"/>
      <c r="CP119" s="167"/>
    </row>
    <row r="120" spans="1:94" x14ac:dyDescent="0.2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220" t="s">
        <v>79</v>
      </c>
      <c r="AV120" s="167"/>
      <c r="AW120" s="203">
        <f>SUM(AW117:AW119)</f>
        <v>1</v>
      </c>
      <c r="AX120" s="204" t="e">
        <f>AV116*AX116</f>
        <v>#REF!</v>
      </c>
      <c r="AY120" s="168" t="s">
        <v>113</v>
      </c>
      <c r="AZ120" s="168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7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7"/>
      <c r="CK120" s="167"/>
      <c r="CL120" s="167"/>
      <c r="CM120" s="167"/>
      <c r="CN120" s="167"/>
      <c r="CO120" s="167"/>
      <c r="CP120" s="167"/>
    </row>
    <row r="121" spans="1:94" ht="13.5" thickBot="1" x14ac:dyDescent="0.25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203"/>
      <c r="AX121" s="204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</row>
    <row r="122" spans="1:94" ht="13.5" thickBot="1" x14ac:dyDescent="0.25">
      <c r="A122" s="167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230" t="s">
        <v>271</v>
      </c>
      <c r="AV122" s="188" t="e">
        <f>#REF!</f>
        <v>#REF!</v>
      </c>
      <c r="AW122" s="189" t="s">
        <v>57</v>
      </c>
      <c r="AX122" s="280">
        <v>1.1950000000000001</v>
      </c>
      <c r="AY122" s="189" t="s">
        <v>58</v>
      </c>
      <c r="AZ122" s="191" t="s">
        <v>212</v>
      </c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8"/>
      <c r="BS122" s="167"/>
      <c r="BT122" s="167"/>
      <c r="BU122" s="167"/>
      <c r="BV122" s="167"/>
      <c r="BW122" s="167"/>
      <c r="BX122" s="167"/>
      <c r="BY122" s="167"/>
      <c r="BZ122" s="167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</row>
    <row r="123" spans="1:94" x14ac:dyDescent="0.2">
      <c r="A123" s="16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250" t="s">
        <v>62</v>
      </c>
      <c r="AV123" s="167"/>
      <c r="AW123" s="203">
        <f>AW127-SUM(AW124:AW126)</f>
        <v>-9.9999999999988987E-4</v>
      </c>
      <c r="AX123" s="204" t="e">
        <f>AW123*AX$127</f>
        <v>#REF!</v>
      </c>
      <c r="AY123" s="168" t="s">
        <v>276</v>
      </c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7"/>
      <c r="CA123" s="167"/>
      <c r="CB123" s="167"/>
      <c r="CC123" s="167"/>
      <c r="CD123" s="167"/>
      <c r="CE123" s="167"/>
      <c r="CF123" s="167"/>
      <c r="CG123" s="167"/>
      <c r="CH123" s="167"/>
      <c r="CI123" s="167"/>
      <c r="CJ123" s="167"/>
      <c r="CK123" s="167"/>
      <c r="CL123" s="167"/>
      <c r="CM123" s="167"/>
      <c r="CN123" s="167"/>
      <c r="CO123" s="167"/>
      <c r="CP123" s="167"/>
    </row>
    <row r="124" spans="1:94" x14ac:dyDescent="0.2">
      <c r="A124" s="167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9" t="s">
        <v>272</v>
      </c>
      <c r="AV124" s="191" t="s">
        <v>207</v>
      </c>
      <c r="AW124" s="289">
        <v>0.27</v>
      </c>
      <c r="AX124" s="209" t="e">
        <f>AW124*AX$127</f>
        <v>#REF!</v>
      </c>
      <c r="AY124" s="168" t="s">
        <v>113</v>
      </c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7"/>
      <c r="BQ124" s="167"/>
      <c r="BR124" s="167"/>
      <c r="BS124" s="167"/>
      <c r="BT124" s="167"/>
      <c r="BU124" s="167"/>
      <c r="BV124" s="167"/>
      <c r="BW124" s="167"/>
      <c r="BX124" s="167"/>
      <c r="BY124" s="167"/>
      <c r="BZ124" s="167"/>
      <c r="CA124" s="167"/>
      <c r="CB124" s="167"/>
      <c r="CC124" s="167"/>
      <c r="CD124" s="167"/>
      <c r="CE124" s="167"/>
      <c r="CF124" s="167"/>
      <c r="CG124" s="167"/>
      <c r="CH124" s="167"/>
      <c r="CI124" s="167"/>
      <c r="CJ124" s="167"/>
      <c r="CK124" s="167"/>
      <c r="CL124" s="167"/>
      <c r="CM124" s="167"/>
      <c r="CN124" s="167"/>
      <c r="CO124" s="167"/>
      <c r="CP124" s="167"/>
    </row>
    <row r="125" spans="1:94" x14ac:dyDescent="0.2">
      <c r="A125" s="167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9" t="s">
        <v>277</v>
      </c>
      <c r="AV125" s="169" t="s">
        <v>278</v>
      </c>
      <c r="AW125" s="290">
        <v>1E-3</v>
      </c>
      <c r="AX125" s="209" t="e">
        <f>AW125*AX$127</f>
        <v>#REF!</v>
      </c>
      <c r="AY125" s="168" t="s">
        <v>113</v>
      </c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7"/>
      <c r="BQ125" s="167"/>
      <c r="BR125" s="167"/>
      <c r="BS125" s="167"/>
      <c r="BT125" s="167"/>
      <c r="BU125" s="167"/>
      <c r="BV125" s="167"/>
      <c r="BW125" s="167"/>
      <c r="BX125" s="167"/>
      <c r="BY125" s="167"/>
      <c r="BZ125" s="167"/>
      <c r="CA125" s="167"/>
      <c r="CB125" s="167"/>
      <c r="CC125" s="167"/>
      <c r="CD125" s="167"/>
      <c r="CE125" s="167"/>
      <c r="CF125" s="167"/>
      <c r="CG125" s="167"/>
      <c r="CH125" s="167"/>
      <c r="CI125" s="167"/>
      <c r="CJ125" s="167"/>
      <c r="CK125" s="167"/>
      <c r="CL125" s="167"/>
      <c r="CM125" s="167"/>
      <c r="CN125" s="167"/>
      <c r="CO125" s="167"/>
      <c r="CP125" s="167"/>
    </row>
    <row r="126" spans="1:94" x14ac:dyDescent="0.2">
      <c r="A126" s="167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284" t="s">
        <v>242</v>
      </c>
      <c r="AV126" s="169" t="s">
        <v>279</v>
      </c>
      <c r="AW126" s="233">
        <v>0.73</v>
      </c>
      <c r="AX126" s="221" t="e">
        <f>AW126*AX$127</f>
        <v>#REF!</v>
      </c>
      <c r="AY126" s="168" t="s">
        <v>113</v>
      </c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7"/>
      <c r="BQ126" s="167"/>
      <c r="BR126" s="167"/>
      <c r="BS126" s="167"/>
      <c r="BT126" s="167"/>
      <c r="BU126" s="167"/>
      <c r="BV126" s="167"/>
      <c r="BW126" s="167"/>
      <c r="BX126" s="167"/>
      <c r="BY126" s="167"/>
      <c r="BZ126" s="167"/>
      <c r="CA126" s="167"/>
      <c r="CB126" s="167"/>
      <c r="CC126" s="167"/>
      <c r="CD126" s="167"/>
      <c r="CE126" s="167"/>
      <c r="CF126" s="167"/>
      <c r="CG126" s="167"/>
      <c r="CH126" s="167"/>
      <c r="CI126" s="167"/>
      <c r="CJ126" s="167"/>
      <c r="CK126" s="167"/>
      <c r="CL126" s="167"/>
      <c r="CM126" s="167"/>
      <c r="CN126" s="167"/>
      <c r="CO126" s="167"/>
      <c r="CP126" s="167"/>
    </row>
    <row r="127" spans="1:94" ht="14.45" customHeight="1" x14ac:dyDescent="0.2">
      <c r="A127" s="167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9" t="s">
        <v>79</v>
      </c>
      <c r="AV127" s="167"/>
      <c r="AW127" s="289">
        <v>1</v>
      </c>
      <c r="AX127" s="204" t="e">
        <f>AV122*AX122</f>
        <v>#REF!</v>
      </c>
      <c r="AY127" s="168" t="s">
        <v>113</v>
      </c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7"/>
      <c r="BX127" s="167"/>
      <c r="BY127" s="167"/>
      <c r="BZ127" s="167"/>
      <c r="CA127" s="167"/>
      <c r="CB127" s="167"/>
      <c r="CC127" s="167"/>
      <c r="CD127" s="167"/>
      <c r="CE127" s="167"/>
      <c r="CF127" s="167"/>
      <c r="CG127" s="167"/>
      <c r="CH127" s="167"/>
      <c r="CI127" s="167"/>
      <c r="CJ127" s="167"/>
      <c r="CK127" s="167"/>
      <c r="CL127" s="167"/>
      <c r="CM127" s="167"/>
      <c r="CN127" s="167"/>
      <c r="CO127" s="167"/>
      <c r="CP127" s="167"/>
    </row>
    <row r="128" spans="1:94" ht="13.5" thickBot="1" x14ac:dyDescent="0.25">
      <c r="A128" s="167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  <c r="CC128" s="167"/>
      <c r="CD128" s="167"/>
      <c r="CE128" s="167"/>
      <c r="CF128" s="167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</row>
    <row r="129" spans="1:94" ht="13.5" thickBot="1" x14ac:dyDescent="0.25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87" t="s">
        <v>313</v>
      </c>
      <c r="AV129" s="188" t="e">
        <f>#REF!</f>
        <v>#REF!</v>
      </c>
      <c r="AW129" s="189" t="s">
        <v>57</v>
      </c>
      <c r="AX129" s="280">
        <v>1.2270000000000001</v>
      </c>
      <c r="AY129" s="189" t="s">
        <v>58</v>
      </c>
      <c r="AZ129" s="191" t="s">
        <v>212</v>
      </c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  <c r="CC129" s="167"/>
      <c r="CD129" s="167"/>
      <c r="CE129" s="167"/>
      <c r="CF129" s="167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</row>
    <row r="130" spans="1:94" x14ac:dyDescent="0.2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 t="s">
        <v>62</v>
      </c>
      <c r="AV130" s="167"/>
      <c r="AW130" s="289">
        <v>0</v>
      </c>
      <c r="AX130" s="204" t="e">
        <f>AW130*AX$134</f>
        <v>#REF!</v>
      </c>
      <c r="AY130" s="168" t="s">
        <v>113</v>
      </c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8"/>
      <c r="BX130" s="168"/>
      <c r="BY130" s="167"/>
      <c r="BZ130" s="167"/>
      <c r="CA130" s="167"/>
      <c r="CB130" s="167"/>
      <c r="CC130" s="167"/>
      <c r="CD130" s="167"/>
      <c r="CE130" s="167"/>
      <c r="CF130" s="167"/>
      <c r="CG130" s="167"/>
      <c r="CH130" s="167"/>
      <c r="CI130" s="167"/>
      <c r="CJ130" s="167"/>
      <c r="CK130" s="167"/>
      <c r="CL130" s="167"/>
      <c r="CM130" s="167"/>
      <c r="CN130" s="167"/>
      <c r="CO130" s="167"/>
      <c r="CP130" s="167"/>
    </row>
    <row r="131" spans="1:94" x14ac:dyDescent="0.2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9" t="s">
        <v>272</v>
      </c>
      <c r="AV131" s="191" t="s">
        <v>207</v>
      </c>
      <c r="AW131" s="289">
        <v>0.43</v>
      </c>
      <c r="AX131" s="204" t="e">
        <f>AW131*AX$134</f>
        <v>#REF!</v>
      </c>
      <c r="AY131" s="168" t="s">
        <v>113</v>
      </c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7"/>
      <c r="BQ131" s="167"/>
      <c r="BR131" s="167"/>
      <c r="BS131" s="167"/>
      <c r="BT131" s="167"/>
      <c r="BU131" s="167"/>
      <c r="BV131" s="167"/>
      <c r="BW131" s="168"/>
      <c r="BX131" s="168"/>
      <c r="BY131" s="167"/>
      <c r="BZ131" s="167"/>
      <c r="CA131" s="167"/>
      <c r="CB131" s="167"/>
      <c r="CC131" s="167"/>
      <c r="CD131" s="167"/>
      <c r="CE131" s="167"/>
      <c r="CF131" s="167"/>
      <c r="CG131" s="167"/>
      <c r="CH131" s="167"/>
      <c r="CI131" s="167"/>
      <c r="CJ131" s="167"/>
      <c r="CK131" s="167"/>
      <c r="CL131" s="167"/>
      <c r="CM131" s="167"/>
      <c r="CN131" s="167"/>
      <c r="CO131" s="167"/>
      <c r="CP131" s="167"/>
    </row>
    <row r="132" spans="1:94" ht="25.5" x14ac:dyDescent="0.2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287" t="s">
        <v>236</v>
      </c>
      <c r="AV132" s="167" t="s">
        <v>204</v>
      </c>
      <c r="AW132" s="215">
        <v>0.56899999999999995</v>
      </c>
      <c r="AX132" s="204" t="e">
        <f>AW132*AX$134</f>
        <v>#REF!</v>
      </c>
      <c r="AY132" s="168" t="s">
        <v>113</v>
      </c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7"/>
      <c r="BQ132" s="167"/>
      <c r="BR132" s="167"/>
      <c r="BS132" s="167"/>
      <c r="BT132" s="167"/>
      <c r="BU132" s="167"/>
      <c r="BV132" s="167"/>
      <c r="BW132" s="168"/>
      <c r="BX132" s="168"/>
      <c r="BY132" s="167"/>
      <c r="BZ132" s="167"/>
      <c r="CA132" s="167"/>
      <c r="CB132" s="167"/>
      <c r="CC132" s="167"/>
      <c r="CD132" s="167"/>
      <c r="CE132" s="167"/>
      <c r="CF132" s="167"/>
      <c r="CG132" s="167"/>
      <c r="CH132" s="167"/>
      <c r="CI132" s="167"/>
      <c r="CJ132" s="167"/>
      <c r="CK132" s="167"/>
      <c r="CL132" s="167"/>
      <c r="CM132" s="167"/>
      <c r="CN132" s="167"/>
      <c r="CO132" s="167"/>
      <c r="CP132" s="167"/>
    </row>
    <row r="133" spans="1:94" x14ac:dyDescent="0.2">
      <c r="A133" s="167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9" t="s">
        <v>277</v>
      </c>
      <c r="AV133" s="169" t="s">
        <v>278</v>
      </c>
      <c r="AW133" s="291">
        <v>1E-3</v>
      </c>
      <c r="AX133" s="221" t="e">
        <f>AW133*AX$134</f>
        <v>#REF!</v>
      </c>
      <c r="AY133" s="168" t="s">
        <v>113</v>
      </c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8"/>
      <c r="BX133" s="168"/>
      <c r="BY133" s="167"/>
      <c r="BZ133" s="167"/>
      <c r="CA133" s="167"/>
      <c r="CB133" s="167"/>
      <c r="CC133" s="167"/>
      <c r="CD133" s="167"/>
      <c r="CE133" s="167"/>
      <c r="CF133" s="167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</row>
    <row r="134" spans="1:94" x14ac:dyDescent="0.2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203">
        <f>SUM(AW131:AW133)</f>
        <v>0.99999999999999989</v>
      </c>
      <c r="AX134" s="204" t="e">
        <f>AV129*AX129</f>
        <v>#REF!</v>
      </c>
      <c r="AY134" s="168" t="s">
        <v>113</v>
      </c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7"/>
      <c r="BQ134" s="167"/>
      <c r="BR134" s="167"/>
      <c r="BS134" s="167"/>
      <c r="BT134" s="167"/>
      <c r="BU134" s="167"/>
      <c r="BV134" s="167"/>
      <c r="BW134" s="168"/>
      <c r="BX134" s="168"/>
      <c r="BY134" s="167"/>
      <c r="BZ134" s="167"/>
      <c r="CA134" s="167"/>
      <c r="CB134" s="167"/>
      <c r="CC134" s="167"/>
      <c r="CD134" s="167"/>
      <c r="CE134" s="167"/>
      <c r="CF134" s="167"/>
      <c r="CG134" s="167"/>
      <c r="CH134" s="167"/>
      <c r="CI134" s="167"/>
      <c r="CJ134" s="167"/>
      <c r="CK134" s="167"/>
      <c r="CL134" s="167"/>
      <c r="CM134" s="167"/>
      <c r="CN134" s="167"/>
      <c r="CO134" s="167"/>
      <c r="CP134" s="167"/>
    </row>
    <row r="135" spans="1:94" ht="13.5" thickBot="1" x14ac:dyDescent="0.25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203"/>
      <c r="AX135" s="204"/>
      <c r="AY135" s="168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7"/>
      <c r="BQ135" s="167"/>
      <c r="BR135" s="167"/>
      <c r="BS135" s="167"/>
      <c r="BT135" s="167"/>
      <c r="BU135" s="167"/>
      <c r="BV135" s="167"/>
      <c r="BW135" s="168"/>
      <c r="BX135" s="168"/>
      <c r="BY135" s="167"/>
      <c r="BZ135" s="167"/>
      <c r="CA135" s="167"/>
      <c r="CB135" s="167"/>
      <c r="CC135" s="167"/>
      <c r="CD135" s="167"/>
      <c r="CE135" s="167"/>
      <c r="CF135" s="167"/>
      <c r="CG135" s="167"/>
      <c r="CH135" s="167"/>
      <c r="CI135" s="167"/>
      <c r="CJ135" s="167"/>
      <c r="CK135" s="167"/>
      <c r="CL135" s="167"/>
      <c r="CM135" s="167"/>
      <c r="CN135" s="167"/>
      <c r="CO135" s="167"/>
      <c r="CP135" s="167"/>
    </row>
    <row r="136" spans="1:94" ht="13.5" thickBot="1" x14ac:dyDescent="0.25">
      <c r="A136" s="167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230" t="s">
        <v>269</v>
      </c>
      <c r="AV136" s="188" t="e">
        <f>#REF!</f>
        <v>#REF!</v>
      </c>
      <c r="AW136" s="189" t="s">
        <v>57</v>
      </c>
      <c r="AX136" s="280">
        <v>1.276</v>
      </c>
      <c r="AY136" s="189" t="s">
        <v>58</v>
      </c>
      <c r="AZ136" s="191" t="s">
        <v>212</v>
      </c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7"/>
      <c r="BQ136" s="167"/>
      <c r="BR136" s="167"/>
      <c r="BS136" s="167"/>
      <c r="BT136" s="167"/>
      <c r="BU136" s="167"/>
      <c r="BV136" s="167"/>
      <c r="BW136" s="168"/>
      <c r="BX136" s="168"/>
      <c r="BY136" s="167"/>
      <c r="BZ136" s="167"/>
      <c r="CA136" s="167"/>
      <c r="CB136" s="167"/>
      <c r="CC136" s="167"/>
      <c r="CD136" s="167"/>
      <c r="CE136" s="167"/>
      <c r="CF136" s="167"/>
      <c r="CG136" s="167"/>
      <c r="CH136" s="167"/>
      <c r="CI136" s="167"/>
      <c r="CJ136" s="167"/>
      <c r="CK136" s="167"/>
      <c r="CL136" s="167"/>
      <c r="CM136" s="167"/>
      <c r="CN136" s="167"/>
      <c r="CO136" s="167"/>
      <c r="CP136" s="167"/>
    </row>
    <row r="137" spans="1:94" x14ac:dyDescent="0.2">
      <c r="A137" s="167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250" t="s">
        <v>62</v>
      </c>
      <c r="AV137" s="167"/>
      <c r="AW137" s="203">
        <f>AW141-AW140-AW139-AW138</f>
        <v>0.48899999999999999</v>
      </c>
      <c r="AX137" s="204" t="e">
        <f>AX$141*AW137</f>
        <v>#REF!</v>
      </c>
      <c r="AY137" s="168" t="s">
        <v>58</v>
      </c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8"/>
      <c r="BX137" s="168"/>
      <c r="BY137" s="167"/>
      <c r="BZ137" s="167"/>
      <c r="CA137" s="167"/>
      <c r="CB137" s="167"/>
      <c r="CC137" s="167"/>
      <c r="CD137" s="167"/>
      <c r="CE137" s="167"/>
      <c r="CF137" s="167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</row>
    <row r="138" spans="1:94" x14ac:dyDescent="0.2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284" t="s">
        <v>99</v>
      </c>
      <c r="AV138" s="167" t="s">
        <v>94</v>
      </c>
      <c r="AW138" s="203">
        <v>1E-3</v>
      </c>
      <c r="AX138" s="204" t="e">
        <f>AX$141*AW138</f>
        <v>#REF!</v>
      </c>
      <c r="AY138" s="168" t="s">
        <v>113</v>
      </c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8"/>
      <c r="BX138" s="168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</row>
    <row r="139" spans="1:94" x14ac:dyDescent="0.2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9" t="s">
        <v>272</v>
      </c>
      <c r="AV139" s="191" t="s">
        <v>207</v>
      </c>
      <c r="AW139" s="289">
        <v>0.49</v>
      </c>
      <c r="AX139" s="204" t="e">
        <f>AX$141*AW139</f>
        <v>#REF!</v>
      </c>
      <c r="AY139" s="168" t="s">
        <v>58</v>
      </c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7"/>
      <c r="BQ139" s="167"/>
      <c r="BR139" s="168"/>
      <c r="BS139" s="167"/>
      <c r="BT139" s="167"/>
      <c r="BU139" s="167"/>
      <c r="BV139" s="167"/>
      <c r="BW139" s="168"/>
      <c r="BX139" s="168"/>
      <c r="BY139" s="167"/>
      <c r="BZ139" s="167"/>
      <c r="CA139" s="167"/>
      <c r="CB139" s="167"/>
      <c r="CC139" s="167"/>
      <c r="CD139" s="167"/>
      <c r="CE139" s="167"/>
      <c r="CF139" s="167"/>
      <c r="CG139" s="167"/>
      <c r="CH139" s="167"/>
      <c r="CI139" s="167"/>
      <c r="CJ139" s="167"/>
      <c r="CK139" s="167"/>
      <c r="CL139" s="167"/>
      <c r="CM139" s="167"/>
      <c r="CN139" s="167"/>
      <c r="CO139" s="167"/>
      <c r="CP139" s="167"/>
    </row>
    <row r="140" spans="1:94" x14ac:dyDescent="0.2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9" t="s">
        <v>243</v>
      </c>
      <c r="AV140" s="169" t="s">
        <v>23</v>
      </c>
      <c r="AW140" s="233">
        <v>0.02</v>
      </c>
      <c r="AX140" s="221" t="e">
        <f>AX$141*AW140</f>
        <v>#REF!</v>
      </c>
      <c r="AY140" s="168" t="s">
        <v>58</v>
      </c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8"/>
      <c r="BS140" s="167"/>
      <c r="BT140" s="167"/>
      <c r="BU140" s="167"/>
      <c r="BV140" s="167"/>
      <c r="BW140" s="168"/>
      <c r="BX140" s="168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</row>
    <row r="141" spans="1:94" x14ac:dyDescent="0.2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9" t="s">
        <v>79</v>
      </c>
      <c r="AV141" s="167"/>
      <c r="AW141" s="289">
        <v>1</v>
      </c>
      <c r="AX141" s="204" t="e">
        <f>AV136*AX136</f>
        <v>#REF!</v>
      </c>
      <c r="AY141" s="168" t="s">
        <v>58</v>
      </c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7"/>
      <c r="BQ141" s="167"/>
      <c r="BR141" s="168"/>
      <c r="BS141" s="167"/>
      <c r="BT141" s="167"/>
      <c r="BU141" s="167"/>
      <c r="BV141" s="167"/>
      <c r="BW141" s="168"/>
      <c r="BX141" s="168"/>
      <c r="BY141" s="167"/>
      <c r="BZ141" s="167"/>
      <c r="CA141" s="167"/>
      <c r="CB141" s="167"/>
      <c r="CC141" s="167"/>
      <c r="CD141" s="167"/>
      <c r="CE141" s="167"/>
      <c r="CF141" s="167"/>
      <c r="CG141" s="167"/>
      <c r="CH141" s="167"/>
      <c r="CI141" s="167"/>
      <c r="CJ141" s="167"/>
      <c r="CK141" s="167"/>
      <c r="CL141" s="167"/>
      <c r="CM141" s="167"/>
      <c r="CN141" s="167"/>
      <c r="CO141" s="167"/>
      <c r="CP141" s="167"/>
    </row>
    <row r="142" spans="1:94" ht="13.5" thickBot="1" x14ac:dyDescent="0.25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7"/>
      <c r="BQ142" s="167"/>
      <c r="BR142" s="168"/>
      <c r="BS142" s="167"/>
      <c r="BT142" s="167"/>
      <c r="BU142" s="167"/>
      <c r="BV142" s="167"/>
      <c r="BW142" s="168"/>
      <c r="BX142" s="168"/>
      <c r="BY142" s="167"/>
      <c r="BZ142" s="167"/>
      <c r="CA142" s="167"/>
      <c r="CB142" s="167"/>
      <c r="CC142" s="167"/>
      <c r="CD142" s="167"/>
      <c r="CE142" s="167"/>
      <c r="CF142" s="167"/>
      <c r="CG142" s="167"/>
      <c r="CH142" s="167"/>
      <c r="CI142" s="167"/>
      <c r="CJ142" s="167"/>
      <c r="CK142" s="167"/>
      <c r="CL142" s="167"/>
      <c r="CM142" s="167"/>
      <c r="CN142" s="167"/>
      <c r="CO142" s="167"/>
      <c r="CP142" s="167"/>
    </row>
    <row r="143" spans="1:94" ht="13.5" thickBot="1" x14ac:dyDescent="0.25">
      <c r="A143" s="167"/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230" t="s">
        <v>273</v>
      </c>
      <c r="AV143" s="188" t="e">
        <f>#REF!</f>
        <v>#REF!</v>
      </c>
      <c r="AW143" s="189" t="s">
        <v>57</v>
      </c>
      <c r="AX143" s="280">
        <v>1.167</v>
      </c>
      <c r="AY143" s="189" t="s">
        <v>58</v>
      </c>
      <c r="AZ143" s="191" t="s">
        <v>212</v>
      </c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7"/>
      <c r="BQ143" s="167"/>
      <c r="BR143" s="168"/>
      <c r="BS143" s="167"/>
      <c r="BT143" s="167"/>
      <c r="BU143" s="167"/>
      <c r="BV143" s="167"/>
      <c r="BW143" s="168"/>
      <c r="BX143" s="168"/>
      <c r="BY143" s="167"/>
      <c r="BZ143" s="167"/>
      <c r="CA143" s="167"/>
      <c r="CB143" s="167"/>
      <c r="CC143" s="167"/>
      <c r="CD143" s="167"/>
      <c r="CE143" s="167"/>
      <c r="CF143" s="167"/>
      <c r="CG143" s="167"/>
      <c r="CH143" s="167"/>
      <c r="CI143" s="167"/>
      <c r="CJ143" s="167"/>
      <c r="CK143" s="167"/>
      <c r="CL143" s="167"/>
      <c r="CM143" s="167"/>
      <c r="CN143" s="167"/>
      <c r="CO143" s="167"/>
      <c r="CP143" s="167"/>
    </row>
    <row r="144" spans="1:94" x14ac:dyDescent="0.2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250" t="s">
        <v>62</v>
      </c>
      <c r="AV144" s="167"/>
      <c r="AW144" s="203">
        <f>AW149-SUM(AW145:AW148)</f>
        <v>0</v>
      </c>
      <c r="AX144" s="204" t="e">
        <f>AW144*AX$149</f>
        <v>#REF!</v>
      </c>
      <c r="AY144" s="191" t="s">
        <v>276</v>
      </c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7"/>
      <c r="BQ144" s="167"/>
      <c r="BR144" s="167"/>
      <c r="BS144" s="167"/>
      <c r="BT144" s="167"/>
      <c r="BU144" s="167"/>
      <c r="BV144" s="167"/>
      <c r="BW144" s="168"/>
      <c r="BX144" s="168"/>
      <c r="BY144" s="167"/>
      <c r="BZ144" s="167"/>
      <c r="CA144" s="167"/>
      <c r="CB144" s="167"/>
      <c r="CC144" s="167"/>
      <c r="CD144" s="167"/>
      <c r="CE144" s="167"/>
      <c r="CF144" s="167"/>
      <c r="CG144" s="167"/>
      <c r="CH144" s="167"/>
      <c r="CI144" s="167"/>
      <c r="CJ144" s="167"/>
      <c r="CK144" s="167"/>
      <c r="CL144" s="167"/>
      <c r="CM144" s="167"/>
      <c r="CN144" s="167"/>
      <c r="CO144" s="167"/>
      <c r="CP144" s="167"/>
    </row>
    <row r="145" spans="1:94" x14ac:dyDescent="0.2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9" t="s">
        <v>272</v>
      </c>
      <c r="AV145" s="191" t="s">
        <v>207</v>
      </c>
      <c r="AW145" s="289">
        <v>0.68</v>
      </c>
      <c r="AX145" s="204" t="e">
        <f>AW145*AX$149</f>
        <v>#REF!</v>
      </c>
      <c r="AY145" s="191" t="s">
        <v>276</v>
      </c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7"/>
      <c r="BQ145" s="167"/>
      <c r="BR145" s="167"/>
      <c r="BS145" s="167"/>
      <c r="BT145" s="167"/>
      <c r="BU145" s="167"/>
      <c r="BV145" s="167"/>
      <c r="BW145" s="168"/>
      <c r="BX145" s="168"/>
      <c r="BY145" s="167"/>
      <c r="BZ145" s="167"/>
      <c r="CA145" s="167"/>
      <c r="CB145" s="167"/>
      <c r="CC145" s="167"/>
      <c r="CD145" s="167"/>
      <c r="CE145" s="167"/>
      <c r="CF145" s="167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</row>
    <row r="146" spans="1:94" x14ac:dyDescent="0.2">
      <c r="A146" s="167"/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9" t="s">
        <v>70</v>
      </c>
      <c r="AV146" s="191" t="s">
        <v>20</v>
      </c>
      <c r="AW146" s="289">
        <v>0.13</v>
      </c>
      <c r="AX146" s="204" t="e">
        <f>AW146*AX$149</f>
        <v>#REF!</v>
      </c>
      <c r="AY146" s="191" t="s">
        <v>276</v>
      </c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7"/>
      <c r="BV146" s="167"/>
      <c r="BW146" s="168"/>
      <c r="BX146" s="168"/>
      <c r="BY146" s="167"/>
      <c r="BZ146" s="167"/>
      <c r="CA146" s="167"/>
      <c r="CB146" s="167"/>
      <c r="CC146" s="167"/>
      <c r="CD146" s="167"/>
      <c r="CE146" s="167"/>
      <c r="CF146" s="167"/>
      <c r="CG146" s="167"/>
      <c r="CH146" s="167"/>
      <c r="CI146" s="167"/>
      <c r="CJ146" s="167"/>
      <c r="CK146" s="167"/>
      <c r="CL146" s="167"/>
      <c r="CM146" s="167"/>
      <c r="CN146" s="167"/>
      <c r="CO146" s="167"/>
      <c r="CP146" s="167"/>
    </row>
    <row r="147" spans="1:94" ht="14.45" customHeight="1" x14ac:dyDescent="0.2">
      <c r="A147" s="167"/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9" t="s">
        <v>274</v>
      </c>
      <c r="AV147" s="169" t="s">
        <v>35</v>
      </c>
      <c r="AW147" s="290">
        <v>0.13</v>
      </c>
      <c r="AX147" s="204" t="e">
        <f>AW147*AX$149</f>
        <v>#REF!</v>
      </c>
      <c r="AY147" s="191" t="s">
        <v>276</v>
      </c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7"/>
      <c r="BQ147" s="167"/>
      <c r="BR147" s="167"/>
      <c r="BS147" s="167"/>
      <c r="BT147" s="167"/>
      <c r="BU147" s="167"/>
      <c r="BV147" s="167"/>
      <c r="BW147" s="168"/>
      <c r="BX147" s="168"/>
      <c r="BY147" s="167"/>
      <c r="BZ147" s="167"/>
      <c r="CA147" s="167"/>
      <c r="CB147" s="167"/>
      <c r="CC147" s="167"/>
      <c r="CD147" s="167"/>
      <c r="CE147" s="167"/>
      <c r="CF147" s="167"/>
      <c r="CG147" s="167"/>
      <c r="CH147" s="167"/>
      <c r="CI147" s="167"/>
      <c r="CJ147" s="167"/>
      <c r="CK147" s="167"/>
      <c r="CL147" s="167"/>
      <c r="CM147" s="167"/>
      <c r="CN147" s="167"/>
      <c r="CO147" s="167"/>
      <c r="CP147" s="167"/>
    </row>
    <row r="148" spans="1:94" x14ac:dyDescent="0.2">
      <c r="A148" s="167"/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9" t="s">
        <v>275</v>
      </c>
      <c r="AV148" s="191" t="s">
        <v>198</v>
      </c>
      <c r="AW148" s="291">
        <v>0.06</v>
      </c>
      <c r="AX148" s="221" t="e">
        <f>AW148*AX$149</f>
        <v>#REF!</v>
      </c>
      <c r="AY148" s="191" t="s">
        <v>276</v>
      </c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7"/>
      <c r="BQ148" s="167"/>
      <c r="BR148" s="167"/>
      <c r="BS148" s="167"/>
      <c r="BT148" s="167"/>
      <c r="BU148" s="167"/>
      <c r="BV148" s="167"/>
      <c r="BW148" s="168"/>
      <c r="BX148" s="168"/>
      <c r="BY148" s="167"/>
      <c r="BZ148" s="167"/>
      <c r="CA148" s="167"/>
      <c r="CB148" s="167"/>
      <c r="CC148" s="167"/>
      <c r="CD148" s="167"/>
      <c r="CE148" s="167"/>
      <c r="CF148" s="167"/>
      <c r="CG148" s="167"/>
      <c r="CH148" s="167"/>
      <c r="CI148" s="167"/>
      <c r="CJ148" s="167"/>
      <c r="CK148" s="167"/>
      <c r="CL148" s="167"/>
      <c r="CM148" s="167"/>
      <c r="CN148" s="167"/>
      <c r="CO148" s="167"/>
      <c r="CP148" s="167"/>
    </row>
    <row r="149" spans="1:94" x14ac:dyDescent="0.2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9" t="s">
        <v>79</v>
      </c>
      <c r="AV149" s="167"/>
      <c r="AW149" s="289">
        <v>1</v>
      </c>
      <c r="AX149" s="204" t="e">
        <f>AV143*AX143</f>
        <v>#REF!</v>
      </c>
      <c r="AY149" s="191" t="s">
        <v>276</v>
      </c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7"/>
      <c r="BQ149" s="167"/>
      <c r="BR149" s="167"/>
      <c r="BS149" s="167"/>
      <c r="BT149" s="167"/>
      <c r="BU149" s="167"/>
      <c r="BV149" s="167"/>
      <c r="BW149" s="168"/>
      <c r="BX149" s="168"/>
      <c r="BY149" s="167"/>
      <c r="BZ149" s="167"/>
      <c r="CA149" s="167"/>
      <c r="CB149" s="167"/>
      <c r="CC149" s="167"/>
      <c r="CD149" s="167"/>
      <c r="CE149" s="167"/>
      <c r="CF149" s="167"/>
      <c r="CG149" s="167"/>
      <c r="CH149" s="167"/>
      <c r="CI149" s="167"/>
      <c r="CJ149" s="167"/>
      <c r="CK149" s="167"/>
      <c r="CL149" s="167"/>
      <c r="CM149" s="167"/>
      <c r="CN149" s="167"/>
      <c r="CO149" s="167"/>
      <c r="CP149" s="167"/>
    </row>
    <row r="150" spans="1:94" ht="13.5" thickBot="1" x14ac:dyDescent="0.25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7"/>
      <c r="BQ150" s="167"/>
      <c r="BR150" s="167"/>
      <c r="BS150" s="167"/>
      <c r="BT150" s="167"/>
      <c r="BU150" s="167"/>
      <c r="BV150" s="167"/>
      <c r="BW150" s="168"/>
      <c r="BX150" s="168"/>
      <c r="BY150" s="167"/>
      <c r="BZ150" s="167"/>
      <c r="CA150" s="167"/>
      <c r="CB150" s="167"/>
      <c r="CC150" s="167"/>
      <c r="CD150" s="167"/>
      <c r="CE150" s="167"/>
      <c r="CF150" s="167"/>
      <c r="CG150" s="167"/>
      <c r="CH150" s="167"/>
      <c r="CI150" s="167"/>
      <c r="CJ150" s="167"/>
      <c r="CK150" s="167"/>
      <c r="CL150" s="167"/>
      <c r="CM150" s="167"/>
      <c r="CN150" s="167"/>
      <c r="CO150" s="167"/>
      <c r="CP150" s="167"/>
    </row>
    <row r="151" spans="1:94" ht="14.45" customHeight="1" thickBot="1" x14ac:dyDescent="0.25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230" t="s">
        <v>330</v>
      </c>
      <c r="AV151" s="292" t="e">
        <f>#REF!</f>
        <v>#REF!</v>
      </c>
      <c r="AW151" s="189" t="s">
        <v>57</v>
      </c>
      <c r="AX151" s="188">
        <v>1.387</v>
      </c>
      <c r="AY151" s="189" t="s">
        <v>58</v>
      </c>
      <c r="AZ151" s="191" t="s">
        <v>212</v>
      </c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7"/>
      <c r="BQ151" s="167"/>
      <c r="BR151" s="169"/>
      <c r="BS151" s="167"/>
      <c r="BT151" s="167"/>
      <c r="BU151" s="167"/>
      <c r="BV151" s="167"/>
      <c r="BW151" s="168"/>
      <c r="BX151" s="168"/>
      <c r="BY151" s="167"/>
      <c r="BZ151" s="167"/>
      <c r="CA151" s="167"/>
      <c r="CB151" s="167"/>
      <c r="CC151" s="167"/>
      <c r="CD151" s="167"/>
      <c r="CE151" s="167"/>
      <c r="CF151" s="167"/>
      <c r="CG151" s="167"/>
      <c r="CH151" s="167"/>
      <c r="CI151" s="167"/>
      <c r="CJ151" s="167"/>
      <c r="CK151" s="167"/>
      <c r="CL151" s="167"/>
      <c r="CM151" s="167"/>
      <c r="CN151" s="167"/>
      <c r="CO151" s="167"/>
      <c r="CP151" s="167"/>
    </row>
    <row r="152" spans="1:94" ht="12.75" customHeight="1" x14ac:dyDescent="0.2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250" t="s">
        <v>62</v>
      </c>
      <c r="AV152" s="167"/>
      <c r="AW152" s="203">
        <f>AW159-SUM(AW153:AW158)</f>
        <v>0.65799999999999992</v>
      </c>
      <c r="AX152" s="204" t="e">
        <f t="shared" ref="AX152:AX158" si="11">AV$151*AX$151*AW152</f>
        <v>#REF!</v>
      </c>
      <c r="AY152" s="191" t="s">
        <v>276</v>
      </c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7"/>
      <c r="BQ152" s="167"/>
      <c r="BR152" s="167"/>
      <c r="BS152" s="167"/>
      <c r="BT152" s="167"/>
      <c r="BU152" s="167"/>
      <c r="BV152" s="167"/>
      <c r="BW152" s="168"/>
      <c r="BX152" s="168"/>
      <c r="BY152" s="167"/>
      <c r="BZ152" s="167"/>
      <c r="CA152" s="167"/>
      <c r="CB152" s="167"/>
      <c r="CC152" s="167"/>
      <c r="CD152" s="167"/>
      <c r="CE152" s="167"/>
      <c r="CF152" s="167"/>
      <c r="CG152" s="167"/>
      <c r="CH152" s="167"/>
      <c r="CI152" s="167"/>
      <c r="CJ152" s="167"/>
      <c r="CK152" s="167"/>
      <c r="CL152" s="167"/>
      <c r="CM152" s="167"/>
      <c r="CN152" s="167"/>
      <c r="CO152" s="167"/>
      <c r="CP152" s="167"/>
    </row>
    <row r="153" spans="1:94" x14ac:dyDescent="0.2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9" t="s">
        <v>229</v>
      </c>
      <c r="AV153" s="191" t="s">
        <v>94</v>
      </c>
      <c r="AW153" s="289">
        <v>2E-3</v>
      </c>
      <c r="AX153" s="204" t="e">
        <f t="shared" si="11"/>
        <v>#REF!</v>
      </c>
      <c r="AY153" s="191" t="s">
        <v>276</v>
      </c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7"/>
      <c r="BQ153" s="167"/>
      <c r="BR153" s="167"/>
      <c r="BS153" s="167"/>
      <c r="BT153" s="167"/>
      <c r="BU153" s="167"/>
      <c r="BV153" s="167"/>
      <c r="BW153" s="167"/>
      <c r="BX153" s="167"/>
      <c r="BY153" s="167"/>
      <c r="BZ153" s="167"/>
      <c r="CA153" s="167"/>
      <c r="CB153" s="167"/>
      <c r="CC153" s="167"/>
      <c r="CD153" s="167"/>
      <c r="CE153" s="167"/>
      <c r="CF153" s="167"/>
      <c r="CG153" s="167"/>
      <c r="CH153" s="167"/>
      <c r="CI153" s="167"/>
      <c r="CJ153" s="167"/>
      <c r="CK153" s="167"/>
      <c r="CL153" s="167"/>
      <c r="CM153" s="167"/>
      <c r="CN153" s="167"/>
      <c r="CO153" s="167"/>
      <c r="CP153" s="167"/>
    </row>
    <row r="154" spans="1:94" x14ac:dyDescent="0.2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9" t="s">
        <v>70</v>
      </c>
      <c r="AV154" s="191" t="s">
        <v>20</v>
      </c>
      <c r="AW154" s="289">
        <v>0.14000000000000001</v>
      </c>
      <c r="AX154" s="204" t="e">
        <f t="shared" si="11"/>
        <v>#REF!</v>
      </c>
      <c r="AY154" s="191" t="s">
        <v>276</v>
      </c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7"/>
      <c r="BQ154" s="167"/>
      <c r="BR154" s="167"/>
      <c r="BS154" s="167"/>
      <c r="BT154" s="167"/>
      <c r="BU154" s="167"/>
      <c r="BV154" s="167"/>
      <c r="BW154" s="167"/>
      <c r="BX154" s="167"/>
      <c r="BY154" s="167"/>
      <c r="BZ154" s="167"/>
      <c r="CA154" s="167"/>
      <c r="CB154" s="167"/>
      <c r="CC154" s="167"/>
      <c r="CD154" s="167"/>
      <c r="CE154" s="167"/>
      <c r="CF154" s="167"/>
      <c r="CG154" s="167"/>
      <c r="CH154" s="167"/>
      <c r="CI154" s="167"/>
      <c r="CJ154" s="167"/>
      <c r="CK154" s="167"/>
      <c r="CL154" s="167"/>
      <c r="CM154" s="167"/>
      <c r="CN154" s="167"/>
      <c r="CO154" s="167"/>
      <c r="CP154" s="167"/>
    </row>
    <row r="155" spans="1:94" x14ac:dyDescent="0.2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9" t="s">
        <v>230</v>
      </c>
      <c r="AV155" s="169" t="s">
        <v>36</v>
      </c>
      <c r="AW155" s="293">
        <v>7.0000000000000007E-2</v>
      </c>
      <c r="AX155" s="204" t="e">
        <f t="shared" si="11"/>
        <v>#REF!</v>
      </c>
      <c r="AY155" s="191" t="s">
        <v>276</v>
      </c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7"/>
      <c r="BQ155" s="167"/>
      <c r="BR155" s="167"/>
      <c r="BS155" s="167"/>
      <c r="BT155" s="167"/>
      <c r="BU155" s="167"/>
      <c r="BV155" s="167"/>
      <c r="BW155" s="167"/>
      <c r="BX155" s="167"/>
      <c r="BY155" s="167"/>
      <c r="BZ155" s="167"/>
      <c r="CA155" s="167"/>
      <c r="CB155" s="167"/>
      <c r="CC155" s="167"/>
      <c r="CD155" s="167"/>
      <c r="CE155" s="167"/>
      <c r="CF155" s="167"/>
      <c r="CG155" s="167"/>
      <c r="CH155" s="167"/>
      <c r="CI155" s="167"/>
      <c r="CJ155" s="167"/>
      <c r="CK155" s="167"/>
      <c r="CL155" s="167"/>
      <c r="CM155" s="167"/>
      <c r="CN155" s="167"/>
      <c r="CO155" s="167"/>
      <c r="CP155" s="167"/>
    </row>
    <row r="156" spans="1:94" x14ac:dyDescent="0.2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9" t="s">
        <v>331</v>
      </c>
      <c r="AV156" s="191" t="s">
        <v>332</v>
      </c>
      <c r="AW156" s="294">
        <v>0.09</v>
      </c>
      <c r="AX156" s="204" t="e">
        <f t="shared" si="11"/>
        <v>#REF!</v>
      </c>
      <c r="AY156" s="191" t="s">
        <v>276</v>
      </c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7"/>
      <c r="BQ156" s="167"/>
      <c r="BR156" s="167"/>
      <c r="BS156" s="167"/>
      <c r="BT156" s="167"/>
      <c r="BU156" s="167"/>
      <c r="BV156" s="167"/>
      <c r="BW156" s="167"/>
      <c r="BX156" s="167"/>
      <c r="BY156" s="167"/>
      <c r="BZ156" s="167"/>
      <c r="CA156" s="167"/>
      <c r="CB156" s="167"/>
      <c r="CC156" s="167"/>
      <c r="CD156" s="167"/>
      <c r="CE156" s="167"/>
      <c r="CF156" s="167"/>
      <c r="CG156" s="167"/>
      <c r="CH156" s="167"/>
      <c r="CI156" s="167"/>
      <c r="CJ156" s="167"/>
      <c r="CK156" s="167"/>
      <c r="CL156" s="167"/>
      <c r="CM156" s="167"/>
      <c r="CN156" s="167"/>
      <c r="CO156" s="167"/>
      <c r="CP156" s="167"/>
    </row>
    <row r="157" spans="1:94" x14ac:dyDescent="0.2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9" t="s">
        <v>333</v>
      </c>
      <c r="AV157" s="191" t="s">
        <v>23</v>
      </c>
      <c r="AW157" s="294">
        <v>0.02</v>
      </c>
      <c r="AX157" s="204" t="e">
        <f t="shared" si="11"/>
        <v>#REF!</v>
      </c>
      <c r="AY157" s="191" t="s">
        <v>276</v>
      </c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7"/>
      <c r="BQ157" s="167"/>
      <c r="BR157" s="167"/>
      <c r="BS157" s="167"/>
      <c r="BT157" s="167"/>
      <c r="BU157" s="167"/>
      <c r="BV157" s="167"/>
      <c r="BW157" s="167"/>
      <c r="BX157" s="167"/>
      <c r="BY157" s="167"/>
      <c r="BZ157" s="167"/>
      <c r="CA157" s="167"/>
      <c r="CB157" s="167"/>
      <c r="CC157" s="167"/>
      <c r="CD157" s="167"/>
      <c r="CE157" s="167"/>
      <c r="CF157" s="167"/>
      <c r="CG157" s="167"/>
      <c r="CH157" s="167"/>
      <c r="CI157" s="167"/>
      <c r="CJ157" s="167"/>
      <c r="CK157" s="167"/>
      <c r="CL157" s="167"/>
      <c r="CM157" s="167"/>
      <c r="CN157" s="167"/>
      <c r="CO157" s="167"/>
      <c r="CP157" s="167"/>
    </row>
    <row r="158" spans="1:94" x14ac:dyDescent="0.2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9" t="s">
        <v>334</v>
      </c>
      <c r="AV158" s="191" t="s">
        <v>335</v>
      </c>
      <c r="AW158" s="295">
        <v>0.02</v>
      </c>
      <c r="AX158" s="221" t="e">
        <f t="shared" si="11"/>
        <v>#REF!</v>
      </c>
      <c r="AY158" s="191" t="s">
        <v>276</v>
      </c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7"/>
      <c r="BQ158" s="167"/>
      <c r="BR158" s="167"/>
      <c r="BS158" s="167"/>
      <c r="BT158" s="167"/>
      <c r="BU158" s="167"/>
      <c r="BV158" s="167"/>
      <c r="BW158" s="167"/>
      <c r="BX158" s="167"/>
      <c r="BY158" s="167"/>
      <c r="BZ158" s="167"/>
      <c r="CA158" s="167"/>
      <c r="CB158" s="167"/>
      <c r="CC158" s="167"/>
      <c r="CD158" s="167"/>
      <c r="CE158" s="167"/>
      <c r="CF158" s="167"/>
      <c r="CG158" s="167"/>
      <c r="CH158" s="167"/>
      <c r="CI158" s="167"/>
      <c r="CJ158" s="167"/>
      <c r="CK158" s="167"/>
      <c r="CL158" s="167"/>
      <c r="CM158" s="167"/>
      <c r="CN158" s="167"/>
      <c r="CO158" s="167"/>
      <c r="CP158" s="167"/>
    </row>
    <row r="159" spans="1:94" x14ac:dyDescent="0.2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9" t="s">
        <v>79</v>
      </c>
      <c r="AV159" s="167"/>
      <c r="AW159" s="289">
        <v>1</v>
      </c>
      <c r="AX159" s="204" t="e">
        <f>SUM(AX152:AX158)</f>
        <v>#REF!</v>
      </c>
      <c r="AY159" s="191" t="s">
        <v>276</v>
      </c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7"/>
      <c r="BQ159" s="167"/>
      <c r="BR159" s="167"/>
      <c r="BS159" s="167"/>
      <c r="BT159" s="167"/>
      <c r="BU159" s="167"/>
      <c r="BV159" s="167"/>
      <c r="BW159" s="167"/>
      <c r="BX159" s="167"/>
      <c r="BY159" s="167"/>
      <c r="BZ159" s="167"/>
      <c r="CA159" s="167"/>
      <c r="CB159" s="167"/>
      <c r="CC159" s="167"/>
      <c r="CD159" s="167"/>
      <c r="CE159" s="167"/>
      <c r="CF159" s="167"/>
      <c r="CG159" s="167"/>
      <c r="CH159" s="167"/>
      <c r="CI159" s="167"/>
      <c r="CJ159" s="167"/>
      <c r="CK159" s="167"/>
      <c r="CL159" s="167"/>
      <c r="CM159" s="167"/>
      <c r="CN159" s="167"/>
      <c r="CO159" s="167"/>
      <c r="CP159" s="167"/>
    </row>
    <row r="160" spans="1:94" ht="13.5" thickBot="1" x14ac:dyDescent="0.25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9"/>
      <c r="AV160" s="167"/>
      <c r="AW160" s="289"/>
      <c r="AX160" s="204"/>
      <c r="AY160" s="191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7"/>
      <c r="BQ160" s="167"/>
      <c r="BR160" s="167"/>
      <c r="BS160" s="167"/>
      <c r="BT160" s="167"/>
      <c r="BU160" s="167"/>
      <c r="BV160" s="167"/>
      <c r="BW160" s="167"/>
      <c r="BX160" s="167"/>
      <c r="BY160" s="167"/>
      <c r="BZ160" s="167"/>
      <c r="CA160" s="167"/>
      <c r="CB160" s="167"/>
      <c r="CC160" s="167"/>
      <c r="CD160" s="167"/>
      <c r="CE160" s="167"/>
      <c r="CF160" s="167"/>
      <c r="CG160" s="167"/>
      <c r="CH160" s="167"/>
      <c r="CI160" s="167"/>
      <c r="CJ160" s="167"/>
      <c r="CK160" s="167"/>
      <c r="CL160" s="167"/>
      <c r="CM160" s="167"/>
      <c r="CN160" s="167"/>
      <c r="CO160" s="167"/>
      <c r="CP160" s="167"/>
    </row>
    <row r="161" spans="1:94" ht="13.5" thickBot="1" x14ac:dyDescent="0.25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230" t="s">
        <v>336</v>
      </c>
      <c r="AV161" s="292" t="e">
        <f>#REF!</f>
        <v>#REF!</v>
      </c>
      <c r="AW161" s="189" t="s">
        <v>57</v>
      </c>
      <c r="AX161" s="292">
        <v>0.99</v>
      </c>
      <c r="AY161" s="189" t="s">
        <v>58</v>
      </c>
      <c r="AZ161" s="191" t="s">
        <v>212</v>
      </c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7"/>
      <c r="BQ161" s="167"/>
      <c r="BR161" s="167"/>
      <c r="BS161" s="167"/>
      <c r="BT161" s="167"/>
      <c r="BU161" s="167"/>
      <c r="BV161" s="167"/>
      <c r="BW161" s="167"/>
      <c r="BX161" s="167"/>
      <c r="BY161" s="167"/>
      <c r="BZ161" s="167"/>
      <c r="CA161" s="167"/>
      <c r="CB161" s="167"/>
      <c r="CC161" s="167"/>
      <c r="CD161" s="167"/>
      <c r="CE161" s="167"/>
      <c r="CF161" s="167"/>
      <c r="CG161" s="167"/>
      <c r="CH161" s="167"/>
      <c r="CI161" s="167"/>
      <c r="CJ161" s="167"/>
      <c r="CK161" s="167"/>
      <c r="CL161" s="167"/>
      <c r="CM161" s="167"/>
      <c r="CN161" s="167"/>
      <c r="CO161" s="167"/>
      <c r="CP161" s="167"/>
    </row>
    <row r="162" spans="1:94" x14ac:dyDescent="0.2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91" t="s">
        <v>62</v>
      </c>
      <c r="AV162" s="167"/>
      <c r="AW162" s="289">
        <f>AW165-AW163-AW164</f>
        <v>0.62000000000000011</v>
      </c>
      <c r="AX162" s="204" t="e">
        <f>AX165*AW162</f>
        <v>#REF!</v>
      </c>
      <c r="AY162" s="191" t="s">
        <v>276</v>
      </c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7"/>
      <c r="BQ162" s="167"/>
      <c r="BR162" s="167"/>
      <c r="BS162" s="167"/>
      <c r="BT162" s="167"/>
      <c r="BU162" s="167"/>
      <c r="BV162" s="167"/>
      <c r="BW162" s="167"/>
      <c r="BX162" s="167"/>
      <c r="BY162" s="167"/>
      <c r="BZ162" s="167"/>
      <c r="CA162" s="167"/>
      <c r="CB162" s="167"/>
      <c r="CC162" s="167"/>
      <c r="CD162" s="167"/>
      <c r="CE162" s="167"/>
      <c r="CF162" s="167"/>
      <c r="CG162" s="167"/>
      <c r="CH162" s="167"/>
      <c r="CI162" s="167"/>
      <c r="CJ162" s="167"/>
      <c r="CK162" s="167"/>
      <c r="CL162" s="167"/>
      <c r="CM162" s="167"/>
      <c r="CN162" s="167"/>
      <c r="CO162" s="167"/>
      <c r="CP162" s="167"/>
    </row>
    <row r="163" spans="1:94" x14ac:dyDescent="0.2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91" t="s">
        <v>233</v>
      </c>
      <c r="AV163" s="169" t="s">
        <v>207</v>
      </c>
      <c r="AW163" s="289">
        <v>0.18</v>
      </c>
      <c r="AX163" s="204" t="e">
        <f>AX165*AW163</f>
        <v>#REF!</v>
      </c>
      <c r="AY163" s="191" t="s">
        <v>276</v>
      </c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7"/>
      <c r="BQ163" s="167"/>
      <c r="BR163" s="167"/>
      <c r="BS163" s="167"/>
      <c r="BT163" s="167"/>
      <c r="BU163" s="167"/>
      <c r="BV163" s="167"/>
      <c r="BW163" s="167"/>
      <c r="BX163" s="167"/>
      <c r="BY163" s="167"/>
      <c r="BZ163" s="167"/>
      <c r="CA163" s="167"/>
      <c r="CB163" s="167"/>
      <c r="CC163" s="167"/>
      <c r="CD163" s="167"/>
      <c r="CE163" s="167"/>
      <c r="CF163" s="167"/>
      <c r="CG163" s="167"/>
      <c r="CH163" s="167"/>
      <c r="CI163" s="167"/>
      <c r="CJ163" s="167"/>
      <c r="CK163" s="167"/>
      <c r="CL163" s="167"/>
      <c r="CM163" s="167"/>
      <c r="CN163" s="167"/>
      <c r="CO163" s="167"/>
      <c r="CP163" s="167"/>
    </row>
    <row r="164" spans="1:94" x14ac:dyDescent="0.2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91" t="s">
        <v>42</v>
      </c>
      <c r="AV164" s="169" t="s">
        <v>21</v>
      </c>
      <c r="AW164" s="233">
        <v>0.2</v>
      </c>
      <c r="AX164" s="221" t="e">
        <f>AX165*AW164</f>
        <v>#REF!</v>
      </c>
      <c r="AY164" s="191" t="s">
        <v>276</v>
      </c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7"/>
      <c r="BQ164" s="167"/>
      <c r="BR164" s="167"/>
      <c r="BS164" s="167"/>
      <c r="BT164" s="167"/>
      <c r="BU164" s="167"/>
      <c r="BV164" s="167"/>
      <c r="BW164" s="167"/>
      <c r="BX164" s="167"/>
      <c r="BY164" s="167"/>
      <c r="BZ164" s="167"/>
      <c r="CA164" s="167"/>
      <c r="CB164" s="167"/>
      <c r="CC164" s="167"/>
      <c r="CD164" s="167"/>
      <c r="CE164" s="167"/>
      <c r="CF164" s="167"/>
      <c r="CG164" s="167"/>
      <c r="CH164" s="167"/>
      <c r="CI164" s="167"/>
      <c r="CJ164" s="167"/>
      <c r="CK164" s="167"/>
      <c r="CL164" s="167"/>
      <c r="CM164" s="167"/>
      <c r="CN164" s="167"/>
      <c r="CO164" s="167"/>
      <c r="CP164" s="167"/>
    </row>
    <row r="165" spans="1:94" x14ac:dyDescent="0.2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9" t="s">
        <v>79</v>
      </c>
      <c r="AV165" s="167"/>
      <c r="AW165" s="289">
        <v>1</v>
      </c>
      <c r="AX165" s="204" t="e">
        <f>AV161*AX161</f>
        <v>#REF!</v>
      </c>
      <c r="AY165" s="191" t="s">
        <v>276</v>
      </c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7"/>
      <c r="BQ165" s="167"/>
      <c r="BR165" s="167"/>
      <c r="BS165" s="167"/>
      <c r="BT165" s="167"/>
      <c r="BU165" s="167"/>
      <c r="BV165" s="167"/>
      <c r="BW165" s="167"/>
      <c r="BX165" s="167"/>
      <c r="BY165" s="167"/>
      <c r="BZ165" s="167"/>
      <c r="CA165" s="167"/>
      <c r="CB165" s="167"/>
      <c r="CC165" s="167"/>
      <c r="CD165" s="167"/>
      <c r="CE165" s="167"/>
      <c r="CF165" s="167"/>
      <c r="CG165" s="167"/>
      <c r="CH165" s="167"/>
      <c r="CI165" s="167"/>
      <c r="CJ165" s="167"/>
      <c r="CK165" s="167"/>
      <c r="CL165" s="167"/>
      <c r="CM165" s="167"/>
      <c r="CN165" s="167"/>
      <c r="CO165" s="167"/>
      <c r="CP165" s="167"/>
    </row>
    <row r="166" spans="1:94" ht="13.5" thickBot="1" x14ac:dyDescent="0.25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289"/>
      <c r="AX166" s="209"/>
      <c r="AY166" s="191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7"/>
      <c r="BQ166" s="167"/>
      <c r="BR166" s="167"/>
      <c r="BS166" s="167"/>
      <c r="BT166" s="167"/>
      <c r="BU166" s="167"/>
      <c r="BV166" s="167"/>
      <c r="BW166" s="167"/>
      <c r="BX166" s="167"/>
      <c r="BY166" s="167"/>
      <c r="BZ166" s="167"/>
      <c r="CA166" s="167"/>
      <c r="CB166" s="167"/>
      <c r="CC166" s="167"/>
      <c r="CD166" s="167"/>
      <c r="CE166" s="167"/>
      <c r="CF166" s="167"/>
      <c r="CG166" s="167"/>
      <c r="CH166" s="167"/>
      <c r="CI166" s="167"/>
      <c r="CJ166" s="167"/>
      <c r="CK166" s="167"/>
      <c r="CL166" s="167"/>
      <c r="CM166" s="167"/>
      <c r="CN166" s="167"/>
      <c r="CO166" s="167"/>
      <c r="CP166" s="167"/>
    </row>
    <row r="167" spans="1:94" ht="13.5" thickBot="1" x14ac:dyDescent="0.25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239" t="s">
        <v>121</v>
      </c>
      <c r="AV167" s="167"/>
      <c r="AW167" s="167"/>
      <c r="AX167" s="167"/>
      <c r="AY167" s="168"/>
      <c r="AZ167" s="168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7"/>
      <c r="BQ167" s="167"/>
      <c r="BR167" s="167"/>
      <c r="BS167" s="167"/>
      <c r="BT167" s="167"/>
      <c r="BU167" s="167"/>
      <c r="BV167" s="167"/>
      <c r="BW167" s="167"/>
      <c r="BX167" s="167"/>
      <c r="BY167" s="167"/>
      <c r="BZ167" s="167"/>
      <c r="CA167" s="167"/>
      <c r="CB167" s="167"/>
      <c r="CC167" s="167"/>
      <c r="CD167" s="167"/>
      <c r="CE167" s="167"/>
      <c r="CF167" s="167"/>
      <c r="CG167" s="167"/>
      <c r="CH167" s="167"/>
      <c r="CI167" s="167"/>
      <c r="CJ167" s="167"/>
      <c r="CK167" s="167"/>
      <c r="CL167" s="167"/>
      <c r="CM167" s="167"/>
      <c r="CN167" s="167"/>
      <c r="CO167" s="167"/>
      <c r="CP167" s="167"/>
    </row>
    <row r="168" spans="1:94" ht="13.5" thickBot="1" x14ac:dyDescent="0.25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207" t="s">
        <v>244</v>
      </c>
      <c r="AV168" s="188" t="e">
        <f>#REF!</f>
        <v>#REF!</v>
      </c>
      <c r="AW168" s="189" t="s">
        <v>57</v>
      </c>
      <c r="AX168" s="296">
        <f>766.33/205</f>
        <v>3.7381951219512195</v>
      </c>
      <c r="AY168" s="189" t="s">
        <v>58</v>
      </c>
      <c r="AZ168" s="191" t="s">
        <v>212</v>
      </c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7"/>
      <c r="BQ168" s="167"/>
      <c r="BR168" s="167"/>
      <c r="BS168" s="167"/>
      <c r="BT168" s="167"/>
      <c r="BU168" s="167"/>
      <c r="BV168" s="167"/>
      <c r="BW168" s="167"/>
      <c r="BX168" s="167"/>
      <c r="BY168" s="167"/>
      <c r="BZ168" s="167"/>
      <c r="CA168" s="167"/>
      <c r="CB168" s="167"/>
      <c r="CC168" s="167"/>
      <c r="CD168" s="167"/>
      <c r="CE168" s="167"/>
      <c r="CF168" s="167"/>
      <c r="CG168" s="167"/>
      <c r="CH168" s="167"/>
      <c r="CI168" s="167"/>
      <c r="CJ168" s="167"/>
      <c r="CK168" s="167"/>
      <c r="CL168" s="167"/>
      <c r="CM168" s="167"/>
      <c r="CN168" s="167"/>
      <c r="CO168" s="167"/>
      <c r="CP168" s="167"/>
    </row>
    <row r="169" spans="1:94" x14ac:dyDescent="0.2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91" t="s">
        <v>62</v>
      </c>
      <c r="AV169" s="167"/>
      <c r="AW169" s="203">
        <f>AW174-SUM(AW170:AW173)</f>
        <v>0.60000000000000009</v>
      </c>
      <c r="AX169" s="204" t="e">
        <f>AW169*AX$174</f>
        <v>#REF!</v>
      </c>
      <c r="AY169" s="168" t="s">
        <v>113</v>
      </c>
      <c r="AZ169" s="168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7"/>
      <c r="BQ169" s="167"/>
      <c r="BR169" s="167"/>
      <c r="BS169" s="167"/>
      <c r="BT169" s="167"/>
      <c r="BU169" s="167"/>
      <c r="BV169" s="167"/>
      <c r="BW169" s="167"/>
      <c r="BX169" s="167"/>
      <c r="BY169" s="167"/>
      <c r="BZ169" s="167"/>
      <c r="CA169" s="167"/>
      <c r="CB169" s="167"/>
      <c r="CC169" s="167"/>
      <c r="CD169" s="167"/>
      <c r="CE169" s="167"/>
      <c r="CF169" s="167"/>
      <c r="CG169" s="167"/>
      <c r="CH169" s="167"/>
      <c r="CI169" s="167"/>
      <c r="CJ169" s="167"/>
      <c r="CK169" s="167"/>
      <c r="CL169" s="167"/>
      <c r="CM169" s="167"/>
      <c r="CN169" s="167"/>
      <c r="CO169" s="167"/>
      <c r="CP169" s="167"/>
    </row>
    <row r="170" spans="1:94" x14ac:dyDescent="0.2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91" t="s">
        <v>245</v>
      </c>
      <c r="AV170" s="169" t="s">
        <v>69</v>
      </c>
      <c r="AW170" s="279">
        <v>0.15</v>
      </c>
      <c r="AX170" s="209" t="e">
        <f>AW170*AX$174</f>
        <v>#REF!</v>
      </c>
      <c r="AY170" s="168" t="s">
        <v>113</v>
      </c>
      <c r="AZ170" s="168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7"/>
      <c r="BQ170" s="167"/>
      <c r="BR170" s="167"/>
      <c r="BS170" s="167"/>
      <c r="BT170" s="167"/>
      <c r="BU170" s="167"/>
      <c r="BV170" s="167"/>
      <c r="BW170" s="167"/>
      <c r="BX170" s="167"/>
      <c r="BY170" s="167"/>
      <c r="BZ170" s="167"/>
      <c r="CA170" s="167"/>
      <c r="CB170" s="167"/>
      <c r="CC170" s="167"/>
      <c r="CD170" s="167"/>
      <c r="CE170" s="167"/>
      <c r="CF170" s="167"/>
      <c r="CG170" s="167"/>
      <c r="CH170" s="167"/>
      <c r="CI170" s="167"/>
      <c r="CJ170" s="167"/>
      <c r="CK170" s="167"/>
      <c r="CL170" s="167"/>
      <c r="CM170" s="167"/>
      <c r="CN170" s="167"/>
      <c r="CO170" s="167"/>
      <c r="CP170" s="167"/>
    </row>
    <row r="171" spans="1:94" x14ac:dyDescent="0.2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91" t="s">
        <v>246</v>
      </c>
      <c r="AV171" s="169" t="s">
        <v>189</v>
      </c>
      <c r="AW171" s="297">
        <v>0.02</v>
      </c>
      <c r="AX171" s="209" t="e">
        <f>AW171*AX$174</f>
        <v>#REF!</v>
      </c>
      <c r="AY171" s="168" t="s">
        <v>113</v>
      </c>
      <c r="AZ171" s="168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7"/>
      <c r="BQ171" s="167"/>
      <c r="BR171" s="167"/>
      <c r="BS171" s="167"/>
      <c r="BT171" s="167"/>
      <c r="BU171" s="167"/>
      <c r="BV171" s="167"/>
      <c r="BW171" s="167"/>
      <c r="BX171" s="167"/>
      <c r="BY171" s="167"/>
      <c r="BZ171" s="167"/>
      <c r="CA171" s="167"/>
      <c r="CB171" s="167"/>
      <c r="CC171" s="167"/>
      <c r="CD171" s="167"/>
      <c r="CE171" s="167"/>
      <c r="CF171" s="167"/>
      <c r="CG171" s="167"/>
      <c r="CH171" s="167"/>
      <c r="CI171" s="167"/>
      <c r="CJ171" s="167"/>
      <c r="CK171" s="167"/>
      <c r="CL171" s="167"/>
      <c r="CM171" s="167"/>
      <c r="CN171" s="167"/>
      <c r="CO171" s="167"/>
      <c r="CP171" s="167"/>
    </row>
    <row r="172" spans="1:94" x14ac:dyDescent="0.2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91" t="s">
        <v>247</v>
      </c>
      <c r="AV172" s="167" t="s">
        <v>211</v>
      </c>
      <c r="AW172" s="279">
        <v>0.15</v>
      </c>
      <c r="AX172" s="209" t="e">
        <f>AW172*AX$174</f>
        <v>#REF!</v>
      </c>
      <c r="AY172" s="168" t="s">
        <v>113</v>
      </c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7"/>
      <c r="BQ172" s="167"/>
      <c r="BR172" s="167"/>
      <c r="BS172" s="167"/>
      <c r="BT172" s="167"/>
      <c r="BU172" s="167"/>
      <c r="BV172" s="167"/>
      <c r="BW172" s="167"/>
      <c r="BX172" s="167"/>
      <c r="BY172" s="167"/>
      <c r="BZ172" s="167"/>
      <c r="CA172" s="167"/>
      <c r="CB172" s="167"/>
      <c r="CC172" s="167"/>
      <c r="CD172" s="167"/>
      <c r="CE172" s="167"/>
      <c r="CF172" s="167"/>
      <c r="CG172" s="167"/>
      <c r="CH172" s="167"/>
      <c r="CI172" s="167"/>
      <c r="CJ172" s="167"/>
      <c r="CK172" s="167"/>
      <c r="CL172" s="167"/>
      <c r="CM172" s="167"/>
      <c r="CN172" s="167"/>
      <c r="CO172" s="167"/>
      <c r="CP172" s="167"/>
    </row>
    <row r="173" spans="1:94" x14ac:dyDescent="0.2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91" t="s">
        <v>248</v>
      </c>
      <c r="AV173" s="167" t="s">
        <v>209</v>
      </c>
      <c r="AW173" s="298">
        <v>0.08</v>
      </c>
      <c r="AX173" s="221" t="e">
        <f>AW173*AX$174</f>
        <v>#REF!</v>
      </c>
      <c r="AY173" s="168" t="s">
        <v>113</v>
      </c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7"/>
      <c r="BQ173" s="167"/>
      <c r="BR173" s="167"/>
      <c r="BS173" s="167"/>
      <c r="BT173" s="167"/>
      <c r="BU173" s="167"/>
      <c r="BV173" s="167"/>
      <c r="BW173" s="167"/>
      <c r="BX173" s="167"/>
      <c r="BY173" s="167"/>
      <c r="BZ173" s="167"/>
      <c r="CA173" s="167"/>
      <c r="CB173" s="167"/>
      <c r="CC173" s="167"/>
      <c r="CD173" s="167"/>
      <c r="CE173" s="167"/>
      <c r="CF173" s="167"/>
      <c r="CG173" s="167"/>
      <c r="CH173" s="167"/>
      <c r="CI173" s="167"/>
      <c r="CJ173" s="167"/>
      <c r="CK173" s="167"/>
      <c r="CL173" s="167"/>
      <c r="CM173" s="167"/>
      <c r="CN173" s="167"/>
      <c r="CO173" s="167"/>
      <c r="CP173" s="167"/>
    </row>
    <row r="174" spans="1:94" x14ac:dyDescent="0.2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8"/>
      <c r="AV174" s="167"/>
      <c r="AW174" s="279">
        <v>1</v>
      </c>
      <c r="AX174" s="204" t="e">
        <f>AV168*AX168</f>
        <v>#REF!</v>
      </c>
      <c r="AY174" s="168" t="s">
        <v>113</v>
      </c>
      <c r="AZ174" s="168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7"/>
      <c r="BQ174" s="167"/>
      <c r="BR174" s="167"/>
      <c r="BS174" s="167"/>
      <c r="BT174" s="167"/>
      <c r="BU174" s="167"/>
      <c r="BV174" s="167"/>
      <c r="BW174" s="167"/>
      <c r="BX174" s="167"/>
      <c r="BY174" s="167"/>
      <c r="BZ174" s="167"/>
      <c r="CA174" s="167"/>
      <c r="CB174" s="167"/>
      <c r="CC174" s="167"/>
      <c r="CD174" s="167"/>
      <c r="CE174" s="167"/>
      <c r="CF174" s="167"/>
      <c r="CG174" s="167"/>
      <c r="CH174" s="167"/>
      <c r="CI174" s="167"/>
      <c r="CJ174" s="167"/>
      <c r="CK174" s="167"/>
      <c r="CL174" s="167"/>
      <c r="CM174" s="167"/>
      <c r="CN174" s="167"/>
      <c r="CO174" s="167"/>
      <c r="CP174" s="167"/>
    </row>
    <row r="175" spans="1:94" ht="13.5" thickBot="1" x14ac:dyDescent="0.25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8"/>
      <c r="AV175" s="167"/>
      <c r="AW175" s="167"/>
      <c r="AX175" s="167"/>
      <c r="AY175" s="168"/>
      <c r="AZ175" s="168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7"/>
      <c r="BQ175" s="167"/>
      <c r="BR175" s="167"/>
      <c r="BS175" s="167"/>
      <c r="BT175" s="167"/>
      <c r="BU175" s="167"/>
      <c r="BV175" s="167"/>
      <c r="BW175" s="167"/>
      <c r="BX175" s="167"/>
      <c r="BY175" s="167"/>
      <c r="BZ175" s="167"/>
      <c r="CA175" s="167"/>
      <c r="CB175" s="167"/>
      <c r="CC175" s="167"/>
      <c r="CD175" s="167"/>
      <c r="CE175" s="167"/>
      <c r="CF175" s="167"/>
      <c r="CG175" s="167"/>
      <c r="CH175" s="167"/>
      <c r="CI175" s="167"/>
      <c r="CJ175" s="167"/>
      <c r="CK175" s="167"/>
      <c r="CL175" s="167"/>
      <c r="CM175" s="167"/>
      <c r="CN175" s="167"/>
      <c r="CO175" s="167"/>
      <c r="CP175" s="167"/>
    </row>
    <row r="176" spans="1:94" ht="13.5" thickBot="1" x14ac:dyDescent="0.25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87" t="s">
        <v>168</v>
      </c>
      <c r="AV176" s="188" t="e">
        <f>#REF!</f>
        <v>#REF!</v>
      </c>
      <c r="AW176" s="189" t="s">
        <v>64</v>
      </c>
      <c r="AX176" s="292">
        <f>750/205</f>
        <v>3.6585365853658538</v>
      </c>
      <c r="AY176" s="189" t="s">
        <v>58</v>
      </c>
      <c r="AZ176" s="191" t="s">
        <v>212</v>
      </c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7"/>
      <c r="BQ176" s="167"/>
      <c r="BR176" s="167"/>
      <c r="BS176" s="167"/>
      <c r="BT176" s="167"/>
      <c r="BU176" s="167"/>
      <c r="BV176" s="167"/>
      <c r="BW176" s="167"/>
      <c r="BX176" s="167"/>
      <c r="BY176" s="167"/>
      <c r="BZ176" s="167"/>
      <c r="CA176" s="167"/>
      <c r="CB176" s="167"/>
      <c r="CC176" s="167"/>
      <c r="CD176" s="167"/>
      <c r="CE176" s="167"/>
      <c r="CF176" s="167"/>
      <c r="CG176" s="167"/>
      <c r="CH176" s="167"/>
      <c r="CI176" s="167"/>
      <c r="CJ176" s="167"/>
      <c r="CK176" s="167"/>
      <c r="CL176" s="167"/>
      <c r="CM176" s="167"/>
      <c r="CN176" s="167"/>
      <c r="CO176" s="167"/>
      <c r="CP176" s="167"/>
    </row>
    <row r="177" spans="1:94" x14ac:dyDescent="0.2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250" t="s">
        <v>62</v>
      </c>
      <c r="AV177" s="204"/>
      <c r="AW177" s="203">
        <f>AW185-SUM(AW178:AW184)</f>
        <v>0.43999999999999995</v>
      </c>
      <c r="AX177" s="204" t="e">
        <f t="shared" ref="AX177:AX184" si="12">AV$176*AW177</f>
        <v>#REF!</v>
      </c>
      <c r="AY177" s="168" t="s">
        <v>113</v>
      </c>
      <c r="AZ177" s="168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7"/>
      <c r="BQ177" s="167"/>
      <c r="BR177" s="167"/>
      <c r="BS177" s="167"/>
      <c r="BT177" s="167"/>
      <c r="BU177" s="167"/>
      <c r="BV177" s="167"/>
      <c r="BW177" s="167"/>
      <c r="BX177" s="167"/>
      <c r="BY177" s="167"/>
      <c r="BZ177" s="167"/>
      <c r="CA177" s="167"/>
      <c r="CB177" s="167"/>
      <c r="CC177" s="167"/>
      <c r="CD177" s="167"/>
      <c r="CE177" s="167"/>
      <c r="CF177" s="167"/>
      <c r="CG177" s="167"/>
      <c r="CH177" s="167"/>
      <c r="CI177" s="167"/>
      <c r="CJ177" s="167"/>
      <c r="CK177" s="167"/>
      <c r="CL177" s="167"/>
      <c r="CM177" s="167"/>
      <c r="CN177" s="167"/>
      <c r="CO177" s="167"/>
      <c r="CP177" s="167"/>
    </row>
    <row r="178" spans="1:94" x14ac:dyDescent="0.2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250" t="s">
        <v>70</v>
      </c>
      <c r="AV178" s="167" t="s">
        <v>20</v>
      </c>
      <c r="AW178" s="215">
        <v>0.15</v>
      </c>
      <c r="AX178" s="204" t="e">
        <f t="shared" si="12"/>
        <v>#REF!</v>
      </c>
      <c r="AY178" s="168" t="s">
        <v>113</v>
      </c>
      <c r="AZ178" s="168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7"/>
      <c r="BQ178" s="167"/>
      <c r="BR178" s="167"/>
      <c r="BS178" s="167"/>
      <c r="BT178" s="167"/>
      <c r="BU178" s="167"/>
      <c r="BV178" s="167"/>
      <c r="BW178" s="167"/>
      <c r="BX178" s="167"/>
      <c r="BY178" s="167"/>
      <c r="BZ178" s="167"/>
      <c r="CA178" s="167"/>
      <c r="CB178" s="167"/>
      <c r="CC178" s="167"/>
      <c r="CD178" s="167"/>
      <c r="CE178" s="167"/>
      <c r="CF178" s="167"/>
      <c r="CG178" s="167"/>
      <c r="CH178" s="167"/>
      <c r="CI178" s="167"/>
      <c r="CJ178" s="167"/>
      <c r="CK178" s="167"/>
      <c r="CL178" s="167"/>
      <c r="CM178" s="167"/>
      <c r="CN178" s="167"/>
      <c r="CO178" s="167"/>
      <c r="CP178" s="167"/>
    </row>
    <row r="179" spans="1:94" x14ac:dyDescent="0.2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86" t="s">
        <v>74</v>
      </c>
      <c r="AV179" s="167" t="s">
        <v>29</v>
      </c>
      <c r="AW179" s="215">
        <v>0.15</v>
      </c>
      <c r="AX179" s="204" t="e">
        <f t="shared" si="12"/>
        <v>#REF!</v>
      </c>
      <c r="AY179" s="168" t="s">
        <v>113</v>
      </c>
      <c r="AZ179" s="168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7"/>
      <c r="BQ179" s="167"/>
      <c r="BR179" s="167"/>
      <c r="BS179" s="167"/>
      <c r="BT179" s="167"/>
      <c r="BU179" s="167"/>
      <c r="BV179" s="167"/>
      <c r="BW179" s="167"/>
      <c r="BX179" s="167"/>
      <c r="BY179" s="167"/>
      <c r="BZ179" s="167"/>
      <c r="CA179" s="167"/>
      <c r="CB179" s="167"/>
      <c r="CC179" s="167"/>
      <c r="CD179" s="167"/>
      <c r="CE179" s="167"/>
      <c r="CF179" s="167"/>
      <c r="CG179" s="167"/>
      <c r="CH179" s="167"/>
      <c r="CI179" s="167"/>
      <c r="CJ179" s="167"/>
      <c r="CK179" s="167"/>
      <c r="CL179" s="167"/>
      <c r="CM179" s="167"/>
      <c r="CN179" s="167"/>
      <c r="CO179" s="167"/>
      <c r="CP179" s="167"/>
    </row>
    <row r="180" spans="1:94" x14ac:dyDescent="0.2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250" t="s">
        <v>99</v>
      </c>
      <c r="AV180" s="167" t="s">
        <v>94</v>
      </c>
      <c r="AW180" s="215">
        <v>0.06</v>
      </c>
      <c r="AX180" s="204" t="e">
        <f t="shared" si="12"/>
        <v>#REF!</v>
      </c>
      <c r="AY180" s="168" t="s">
        <v>113</v>
      </c>
      <c r="AZ180" s="168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7"/>
      <c r="BQ180" s="167"/>
      <c r="BR180" s="167"/>
      <c r="BS180" s="167"/>
      <c r="BT180" s="167"/>
      <c r="BU180" s="167"/>
      <c r="BV180" s="167"/>
      <c r="BW180" s="167"/>
      <c r="BX180" s="167"/>
      <c r="BY180" s="167"/>
      <c r="BZ180" s="167"/>
      <c r="CA180" s="167"/>
      <c r="CB180" s="167"/>
      <c r="CC180" s="167"/>
      <c r="CD180" s="167"/>
      <c r="CE180" s="167"/>
      <c r="CF180" s="167"/>
      <c r="CG180" s="167"/>
      <c r="CH180" s="167"/>
      <c r="CI180" s="167"/>
      <c r="CJ180" s="167"/>
      <c r="CK180" s="167"/>
      <c r="CL180" s="167"/>
      <c r="CM180" s="167"/>
      <c r="CN180" s="167"/>
      <c r="CO180" s="167"/>
      <c r="CP180" s="167"/>
    </row>
    <row r="181" spans="1:94" x14ac:dyDescent="0.2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86" t="s">
        <v>76</v>
      </c>
      <c r="AV181" s="167" t="s">
        <v>31</v>
      </c>
      <c r="AW181" s="215">
        <v>0.06</v>
      </c>
      <c r="AX181" s="204" t="e">
        <f t="shared" si="12"/>
        <v>#REF!</v>
      </c>
      <c r="AY181" s="168" t="s">
        <v>113</v>
      </c>
      <c r="AZ181" s="168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7"/>
      <c r="BQ181" s="167"/>
      <c r="BR181" s="169"/>
      <c r="BS181" s="167"/>
      <c r="BT181" s="167"/>
      <c r="BU181" s="167"/>
      <c r="BV181" s="167"/>
      <c r="BW181" s="167"/>
      <c r="BX181" s="167"/>
      <c r="BY181" s="167"/>
      <c r="BZ181" s="167"/>
      <c r="CA181" s="167"/>
      <c r="CB181" s="167"/>
      <c r="CC181" s="167"/>
      <c r="CD181" s="167"/>
      <c r="CE181" s="167"/>
      <c r="CF181" s="167"/>
      <c r="CG181" s="167"/>
      <c r="CH181" s="167"/>
      <c r="CI181" s="167"/>
      <c r="CJ181" s="167"/>
      <c r="CK181" s="167"/>
      <c r="CL181" s="167"/>
      <c r="CM181" s="167"/>
      <c r="CN181" s="167"/>
      <c r="CO181" s="167"/>
      <c r="CP181" s="167"/>
    </row>
    <row r="182" spans="1:94" x14ac:dyDescent="0.2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250" t="s">
        <v>249</v>
      </c>
      <c r="AV182" s="167" t="s">
        <v>23</v>
      </c>
      <c r="AW182" s="217">
        <v>0.02</v>
      </c>
      <c r="AX182" s="204" t="e">
        <f t="shared" si="12"/>
        <v>#REF!</v>
      </c>
      <c r="AY182" s="168" t="s">
        <v>113</v>
      </c>
      <c r="AZ182" s="168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7"/>
      <c r="BQ182" s="167"/>
      <c r="BR182" s="167"/>
      <c r="BS182" s="167"/>
      <c r="BT182" s="167"/>
      <c r="BU182" s="167"/>
      <c r="BV182" s="167"/>
      <c r="BW182" s="167"/>
      <c r="BX182" s="167"/>
      <c r="BY182" s="167"/>
      <c r="BZ182" s="167"/>
      <c r="CA182" s="167"/>
      <c r="CB182" s="167"/>
      <c r="CC182" s="167"/>
      <c r="CD182" s="167"/>
      <c r="CE182" s="167"/>
      <c r="CF182" s="167"/>
      <c r="CG182" s="167"/>
      <c r="CH182" s="167"/>
      <c r="CI182" s="167"/>
      <c r="CJ182" s="167"/>
      <c r="CK182" s="167"/>
      <c r="CL182" s="167"/>
      <c r="CM182" s="167"/>
      <c r="CN182" s="167"/>
      <c r="CO182" s="167"/>
      <c r="CP182" s="167"/>
    </row>
    <row r="183" spans="1:94" x14ac:dyDescent="0.2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91" t="s">
        <v>247</v>
      </c>
      <c r="AV183" s="167" t="s">
        <v>211</v>
      </c>
      <c r="AW183" s="279">
        <v>7.0000000000000007E-2</v>
      </c>
      <c r="AX183" s="204" t="e">
        <f t="shared" si="12"/>
        <v>#REF!</v>
      </c>
      <c r="AY183" s="168" t="s">
        <v>113</v>
      </c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7"/>
      <c r="BQ183" s="167"/>
      <c r="BR183" s="167"/>
      <c r="BS183" s="167"/>
      <c r="BT183" s="167"/>
      <c r="BU183" s="167"/>
      <c r="BV183" s="167"/>
      <c r="BW183" s="167"/>
      <c r="BX183" s="167"/>
      <c r="BY183" s="167"/>
      <c r="BZ183" s="167"/>
      <c r="CA183" s="167"/>
      <c r="CB183" s="167"/>
      <c r="CC183" s="167"/>
      <c r="CD183" s="167"/>
      <c r="CE183" s="167"/>
      <c r="CF183" s="167"/>
      <c r="CG183" s="167"/>
      <c r="CH183" s="167"/>
      <c r="CI183" s="167"/>
      <c r="CJ183" s="167"/>
      <c r="CK183" s="167"/>
      <c r="CL183" s="167"/>
      <c r="CM183" s="167"/>
      <c r="CN183" s="167"/>
      <c r="CO183" s="167"/>
      <c r="CP183" s="167"/>
    </row>
    <row r="184" spans="1:94" x14ac:dyDescent="0.2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91" t="s">
        <v>248</v>
      </c>
      <c r="AV184" s="167" t="s">
        <v>209</v>
      </c>
      <c r="AW184" s="298">
        <v>0.05</v>
      </c>
      <c r="AX184" s="221" t="e">
        <f t="shared" si="12"/>
        <v>#REF!</v>
      </c>
      <c r="AY184" s="168" t="s">
        <v>113</v>
      </c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7"/>
      <c r="BQ184" s="167"/>
      <c r="BR184" s="167"/>
      <c r="BS184" s="167"/>
      <c r="BT184" s="167"/>
      <c r="BU184" s="167"/>
      <c r="BV184" s="167"/>
      <c r="BW184" s="167"/>
      <c r="BX184" s="167"/>
      <c r="BY184" s="167"/>
      <c r="BZ184" s="167"/>
      <c r="CA184" s="167"/>
      <c r="CB184" s="167"/>
      <c r="CC184" s="167"/>
      <c r="CD184" s="167"/>
      <c r="CE184" s="167"/>
      <c r="CF184" s="167"/>
      <c r="CG184" s="167"/>
      <c r="CH184" s="167"/>
      <c r="CI184" s="167"/>
      <c r="CJ184" s="167"/>
      <c r="CK184" s="167"/>
      <c r="CL184" s="167"/>
      <c r="CM184" s="167"/>
      <c r="CN184" s="167"/>
      <c r="CO184" s="167"/>
      <c r="CP184" s="167"/>
    </row>
    <row r="185" spans="1:94" x14ac:dyDescent="0.2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 t="s">
        <v>79</v>
      </c>
      <c r="AV185" s="167"/>
      <c r="AW185" s="203">
        <v>1</v>
      </c>
      <c r="AX185" s="204" t="e">
        <f>SUM(AX177:AX184)</f>
        <v>#REF!</v>
      </c>
      <c r="AY185" s="168" t="s">
        <v>113</v>
      </c>
      <c r="AZ185" s="168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241"/>
      <c r="BL185" s="167"/>
      <c r="BM185" s="167"/>
      <c r="BN185" s="167"/>
      <c r="BO185" s="167"/>
      <c r="BP185" s="167"/>
      <c r="BQ185" s="167"/>
      <c r="BR185" s="167"/>
      <c r="BS185" s="167"/>
      <c r="BT185" s="167"/>
      <c r="BU185" s="167"/>
      <c r="BV185" s="167"/>
      <c r="BW185" s="167"/>
      <c r="BX185" s="167"/>
      <c r="BY185" s="167"/>
      <c r="BZ185" s="167"/>
      <c r="CA185" s="167"/>
      <c r="CB185" s="167"/>
      <c r="CC185" s="167"/>
      <c r="CD185" s="167"/>
      <c r="CE185" s="167"/>
      <c r="CF185" s="167"/>
      <c r="CG185" s="167"/>
      <c r="CH185" s="167"/>
      <c r="CI185" s="167"/>
      <c r="CJ185" s="167"/>
      <c r="CK185" s="167"/>
      <c r="CL185" s="167"/>
      <c r="CM185" s="167"/>
      <c r="CN185" s="167"/>
      <c r="CO185" s="167"/>
      <c r="CP185" s="167"/>
    </row>
    <row r="186" spans="1:94" ht="13.5" thickBot="1" x14ac:dyDescent="0.25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8"/>
      <c r="AZ186" s="168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241"/>
      <c r="BL186" s="167"/>
      <c r="BM186" s="167"/>
      <c r="BN186" s="167"/>
      <c r="BO186" s="167"/>
      <c r="BP186" s="167"/>
      <c r="BQ186" s="167"/>
      <c r="BR186" s="167"/>
      <c r="BS186" s="167"/>
      <c r="BT186" s="167"/>
      <c r="BU186" s="167"/>
      <c r="BV186" s="167"/>
      <c r="BW186" s="167"/>
      <c r="BX186" s="167"/>
      <c r="BY186" s="167"/>
      <c r="BZ186" s="167"/>
      <c r="CA186" s="167"/>
      <c r="CB186" s="167"/>
      <c r="CC186" s="167"/>
      <c r="CD186" s="167"/>
      <c r="CE186" s="167"/>
      <c r="CF186" s="167"/>
      <c r="CG186" s="167"/>
      <c r="CH186" s="167"/>
      <c r="CI186" s="167"/>
      <c r="CJ186" s="167"/>
      <c r="CK186" s="167"/>
      <c r="CL186" s="167"/>
      <c r="CM186" s="167"/>
      <c r="CN186" s="167"/>
      <c r="CO186" s="167"/>
      <c r="CP186" s="167"/>
    </row>
    <row r="187" spans="1:94" ht="13.5" thickBot="1" x14ac:dyDescent="0.25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87" t="s">
        <v>250</v>
      </c>
      <c r="AV187" s="188" t="e">
        <f>#REF!</f>
        <v>#REF!</v>
      </c>
      <c r="AW187" s="189" t="s">
        <v>64</v>
      </c>
      <c r="AX187" s="292">
        <f>750/205</f>
        <v>3.6585365853658538</v>
      </c>
      <c r="AY187" s="189" t="s">
        <v>58</v>
      </c>
      <c r="AZ187" s="191" t="s">
        <v>212</v>
      </c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241"/>
      <c r="BL187" s="167"/>
      <c r="BM187" s="167"/>
      <c r="BN187" s="167"/>
      <c r="BO187" s="167"/>
      <c r="BP187" s="167"/>
      <c r="BQ187" s="167"/>
      <c r="BR187" s="167"/>
      <c r="BS187" s="167"/>
      <c r="BT187" s="167"/>
      <c r="BU187" s="167"/>
      <c r="BV187" s="167"/>
      <c r="BW187" s="167"/>
      <c r="BX187" s="167"/>
      <c r="BY187" s="167"/>
      <c r="BZ187" s="167"/>
      <c r="CA187" s="167"/>
      <c r="CB187" s="167"/>
      <c r="CC187" s="167"/>
      <c r="CD187" s="167"/>
      <c r="CE187" s="167"/>
      <c r="CF187" s="167"/>
      <c r="CG187" s="167"/>
      <c r="CH187" s="167"/>
      <c r="CI187" s="167"/>
      <c r="CJ187" s="167"/>
      <c r="CK187" s="167"/>
      <c r="CL187" s="167"/>
      <c r="CM187" s="167"/>
      <c r="CN187" s="167"/>
      <c r="CO187" s="167"/>
      <c r="CP187" s="167"/>
    </row>
    <row r="188" spans="1:94" x14ac:dyDescent="0.2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250" t="s">
        <v>62</v>
      </c>
      <c r="AV188" s="204"/>
      <c r="AW188" s="215">
        <v>0.42</v>
      </c>
      <c r="AX188" s="204" t="e">
        <f t="shared" ref="AX188:AX196" si="13">AW188*AX$197</f>
        <v>#REF!</v>
      </c>
      <c r="AY188" s="168" t="s">
        <v>113</v>
      </c>
      <c r="AZ188" s="168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241"/>
      <c r="BL188" s="167"/>
      <c r="BM188" s="167"/>
      <c r="BN188" s="167"/>
      <c r="BO188" s="167"/>
      <c r="BP188" s="167"/>
      <c r="BQ188" s="167"/>
      <c r="BR188" s="167"/>
      <c r="BS188" s="167"/>
      <c r="BT188" s="167"/>
      <c r="BU188" s="167"/>
      <c r="BV188" s="167"/>
      <c r="BW188" s="167"/>
      <c r="BX188" s="167"/>
      <c r="BY188" s="167"/>
      <c r="BZ188" s="167"/>
      <c r="CA188" s="167"/>
      <c r="CB188" s="167"/>
      <c r="CC188" s="167"/>
      <c r="CD188" s="167"/>
      <c r="CE188" s="167"/>
      <c r="CF188" s="167"/>
      <c r="CG188" s="167"/>
      <c r="CH188" s="167"/>
      <c r="CI188" s="167"/>
      <c r="CJ188" s="167"/>
      <c r="CK188" s="167"/>
      <c r="CL188" s="167"/>
      <c r="CM188" s="167"/>
      <c r="CN188" s="167"/>
      <c r="CO188" s="167"/>
      <c r="CP188" s="167"/>
    </row>
    <row r="189" spans="1:94" x14ac:dyDescent="0.2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8" t="s">
        <v>70</v>
      </c>
      <c r="AV189" s="167" t="s">
        <v>20</v>
      </c>
      <c r="AW189" s="215">
        <v>0.2</v>
      </c>
      <c r="AX189" s="209" t="e">
        <f t="shared" si="13"/>
        <v>#REF!</v>
      </c>
      <c r="AY189" s="168" t="s">
        <v>113</v>
      </c>
      <c r="AZ189" s="168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241"/>
      <c r="BL189" s="167"/>
      <c r="BM189" s="167"/>
      <c r="BN189" s="167"/>
      <c r="BO189" s="167"/>
      <c r="BP189" s="167"/>
      <c r="BQ189" s="167"/>
      <c r="BR189" s="167"/>
      <c r="BS189" s="167"/>
      <c r="BT189" s="167"/>
      <c r="BU189" s="167"/>
      <c r="BV189" s="167"/>
      <c r="BW189" s="167"/>
      <c r="BX189" s="167"/>
      <c r="BY189" s="167"/>
      <c r="BZ189" s="167"/>
      <c r="CA189" s="167"/>
      <c r="CB189" s="167"/>
      <c r="CC189" s="167"/>
      <c r="CD189" s="167"/>
      <c r="CE189" s="167"/>
      <c r="CF189" s="167"/>
      <c r="CG189" s="167"/>
      <c r="CH189" s="167"/>
      <c r="CI189" s="167"/>
      <c r="CJ189" s="167"/>
      <c r="CK189" s="167"/>
      <c r="CL189" s="167"/>
      <c r="CM189" s="167"/>
      <c r="CN189" s="167"/>
      <c r="CO189" s="167"/>
      <c r="CP189" s="167"/>
    </row>
    <row r="190" spans="1:94" ht="12" customHeight="1" x14ac:dyDescent="0.2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8" t="s">
        <v>76</v>
      </c>
      <c r="AV190" s="167" t="s">
        <v>31</v>
      </c>
      <c r="AW190" s="215">
        <v>0.05</v>
      </c>
      <c r="AX190" s="209" t="e">
        <f t="shared" si="13"/>
        <v>#REF!</v>
      </c>
      <c r="AY190" s="168" t="s">
        <v>113</v>
      </c>
      <c r="AZ190" s="168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241"/>
      <c r="BL190" s="167"/>
      <c r="BM190" s="167"/>
      <c r="BN190" s="167"/>
      <c r="BO190" s="167"/>
      <c r="BP190" s="167"/>
      <c r="BQ190" s="167"/>
      <c r="BR190" s="167"/>
      <c r="BS190" s="167"/>
      <c r="BT190" s="167"/>
      <c r="BU190" s="167"/>
      <c r="BV190" s="167"/>
      <c r="BW190" s="167"/>
      <c r="BX190" s="167"/>
      <c r="BY190" s="167"/>
      <c r="BZ190" s="167"/>
      <c r="CA190" s="167"/>
      <c r="CB190" s="167"/>
      <c r="CC190" s="167"/>
      <c r="CD190" s="167"/>
      <c r="CE190" s="167"/>
      <c r="CF190" s="167"/>
      <c r="CG190" s="167"/>
      <c r="CH190" s="167"/>
      <c r="CI190" s="167"/>
      <c r="CJ190" s="167"/>
      <c r="CK190" s="167"/>
      <c r="CL190" s="167"/>
      <c r="CM190" s="167"/>
      <c r="CN190" s="167"/>
      <c r="CO190" s="167"/>
      <c r="CP190" s="167"/>
    </row>
    <row r="191" spans="1:94" x14ac:dyDescent="0.2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8" t="s">
        <v>74</v>
      </c>
      <c r="AV191" s="167" t="s">
        <v>29</v>
      </c>
      <c r="AW191" s="215">
        <v>7.0000000000000007E-2</v>
      </c>
      <c r="AX191" s="209" t="e">
        <f t="shared" si="13"/>
        <v>#REF!</v>
      </c>
      <c r="AY191" s="167" t="s">
        <v>113</v>
      </c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241"/>
      <c r="BL191" s="167"/>
      <c r="BM191" s="167"/>
      <c r="BN191" s="167"/>
      <c r="BO191" s="167"/>
      <c r="BP191" s="167"/>
      <c r="BQ191" s="167"/>
      <c r="BR191" s="169"/>
      <c r="BS191" s="167"/>
      <c r="BT191" s="167"/>
      <c r="BU191" s="167"/>
      <c r="BV191" s="167"/>
      <c r="BW191" s="167"/>
      <c r="BX191" s="167"/>
      <c r="BY191" s="167"/>
      <c r="BZ191" s="167"/>
      <c r="CA191" s="167"/>
      <c r="CB191" s="167"/>
      <c r="CC191" s="167"/>
      <c r="CD191" s="167"/>
      <c r="CE191" s="167"/>
      <c r="CF191" s="167"/>
      <c r="CG191" s="167"/>
      <c r="CH191" s="167"/>
      <c r="CI191" s="167"/>
      <c r="CJ191" s="167"/>
      <c r="CK191" s="167"/>
      <c r="CL191" s="167"/>
      <c r="CM191" s="167"/>
      <c r="CN191" s="167"/>
      <c r="CO191" s="167"/>
      <c r="CP191" s="167"/>
    </row>
    <row r="192" spans="1:94" x14ac:dyDescent="0.2">
      <c r="A192" s="167"/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8" t="s">
        <v>251</v>
      </c>
      <c r="AV192" s="168" t="s">
        <v>23</v>
      </c>
      <c r="AW192" s="215">
        <v>0.02</v>
      </c>
      <c r="AX192" s="209" t="e">
        <f t="shared" si="13"/>
        <v>#REF!</v>
      </c>
      <c r="AY192" s="167" t="s">
        <v>113</v>
      </c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241"/>
      <c r="BL192" s="167"/>
      <c r="BM192" s="167"/>
      <c r="BN192" s="167"/>
      <c r="BO192" s="167"/>
      <c r="BP192" s="167"/>
      <c r="BQ192" s="167"/>
      <c r="BR192" s="167"/>
      <c r="BS192" s="167"/>
      <c r="BT192" s="167"/>
      <c r="BU192" s="167"/>
      <c r="BV192" s="167"/>
      <c r="BW192" s="167"/>
      <c r="BX192" s="167"/>
      <c r="BY192" s="167"/>
      <c r="BZ192" s="167"/>
      <c r="CA192" s="167"/>
      <c r="CB192" s="167"/>
      <c r="CC192" s="167"/>
      <c r="CD192" s="167"/>
      <c r="CE192" s="167"/>
      <c r="CF192" s="167"/>
      <c r="CG192" s="167"/>
      <c r="CH192" s="167"/>
      <c r="CI192" s="167"/>
      <c r="CJ192" s="167"/>
      <c r="CK192" s="167"/>
      <c r="CL192" s="167"/>
      <c r="CM192" s="167"/>
      <c r="CN192" s="167"/>
      <c r="CO192" s="167"/>
      <c r="CP192" s="167"/>
    </row>
    <row r="193" spans="1:94" x14ac:dyDescent="0.2">
      <c r="A193" s="167"/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8" t="s">
        <v>99</v>
      </c>
      <c r="AV193" s="168" t="s">
        <v>94</v>
      </c>
      <c r="AW193" s="215">
        <v>0.02</v>
      </c>
      <c r="AX193" s="209" t="e">
        <f t="shared" si="13"/>
        <v>#REF!</v>
      </c>
      <c r="AY193" s="167" t="s">
        <v>113</v>
      </c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241"/>
      <c r="BL193" s="167"/>
      <c r="BM193" s="167"/>
      <c r="BN193" s="167"/>
      <c r="BO193" s="167"/>
      <c r="BP193" s="167"/>
      <c r="BQ193" s="167"/>
      <c r="BR193" s="167"/>
      <c r="BS193" s="167"/>
      <c r="BT193" s="167"/>
      <c r="BU193" s="167"/>
      <c r="BV193" s="167"/>
      <c r="BW193" s="167"/>
      <c r="BX193" s="167"/>
      <c r="BY193" s="167"/>
      <c r="BZ193" s="167"/>
      <c r="CA193" s="167"/>
      <c r="CB193" s="167"/>
      <c r="CC193" s="167"/>
      <c r="CD193" s="167"/>
      <c r="CE193" s="167"/>
      <c r="CF193" s="167"/>
      <c r="CG193" s="167"/>
      <c r="CH193" s="167"/>
      <c r="CI193" s="167"/>
      <c r="CJ193" s="167"/>
      <c r="CK193" s="167"/>
      <c r="CL193" s="167"/>
      <c r="CM193" s="167"/>
      <c r="CN193" s="167"/>
      <c r="CO193" s="167"/>
      <c r="CP193" s="167"/>
    </row>
    <row r="194" spans="1:94" x14ac:dyDescent="0.2">
      <c r="A194" s="167"/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8" t="s">
        <v>252</v>
      </c>
      <c r="AV194" s="168" t="s">
        <v>34</v>
      </c>
      <c r="AW194" s="215">
        <v>0.02</v>
      </c>
      <c r="AX194" s="209" t="e">
        <f t="shared" si="13"/>
        <v>#REF!</v>
      </c>
      <c r="AY194" s="167" t="s">
        <v>113</v>
      </c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241"/>
      <c r="BL194" s="167"/>
      <c r="BM194" s="167"/>
      <c r="BN194" s="167"/>
      <c r="BO194" s="167"/>
      <c r="BP194" s="167"/>
      <c r="BQ194" s="167"/>
      <c r="BR194" s="167"/>
      <c r="BS194" s="167"/>
      <c r="BT194" s="167"/>
      <c r="BU194" s="167"/>
      <c r="BV194" s="167"/>
      <c r="BW194" s="167"/>
      <c r="BX194" s="167"/>
      <c r="BY194" s="167"/>
      <c r="BZ194" s="167"/>
      <c r="CA194" s="167"/>
      <c r="CB194" s="167"/>
      <c r="CC194" s="167"/>
      <c r="CD194" s="167"/>
      <c r="CE194" s="167"/>
      <c r="CF194" s="167"/>
      <c r="CG194" s="167"/>
      <c r="CH194" s="167"/>
      <c r="CI194" s="167"/>
      <c r="CJ194" s="167"/>
      <c r="CK194" s="167"/>
      <c r="CL194" s="167"/>
      <c r="CM194" s="167"/>
      <c r="CN194" s="167"/>
      <c r="CO194" s="167"/>
      <c r="CP194" s="167"/>
    </row>
    <row r="195" spans="1:94" x14ac:dyDescent="0.2">
      <c r="A195" s="167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8" t="s">
        <v>247</v>
      </c>
      <c r="AV195" s="168" t="s">
        <v>211</v>
      </c>
      <c r="AW195" s="215">
        <v>0.05</v>
      </c>
      <c r="AX195" s="209" t="e">
        <f t="shared" si="13"/>
        <v>#REF!</v>
      </c>
      <c r="AY195" s="167" t="s">
        <v>113</v>
      </c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241"/>
      <c r="BL195" s="167"/>
      <c r="BM195" s="167"/>
      <c r="BN195" s="167"/>
      <c r="BO195" s="167"/>
      <c r="BP195" s="167"/>
      <c r="BQ195" s="167"/>
      <c r="BR195" s="167"/>
      <c r="BS195" s="167"/>
      <c r="BT195" s="167"/>
      <c r="BU195" s="167"/>
      <c r="BV195" s="167"/>
      <c r="BW195" s="167"/>
      <c r="BX195" s="167"/>
      <c r="BY195" s="167"/>
      <c r="BZ195" s="167"/>
      <c r="CA195" s="167"/>
      <c r="CB195" s="167"/>
      <c r="CC195" s="167"/>
      <c r="CD195" s="167"/>
      <c r="CE195" s="167"/>
      <c r="CF195" s="167"/>
      <c r="CG195" s="167"/>
      <c r="CH195" s="167"/>
      <c r="CI195" s="167"/>
      <c r="CJ195" s="167"/>
      <c r="CK195" s="167"/>
      <c r="CL195" s="167"/>
      <c r="CM195" s="167"/>
      <c r="CN195" s="167"/>
      <c r="CO195" s="167"/>
      <c r="CP195" s="167"/>
    </row>
    <row r="196" spans="1:94" x14ac:dyDescent="0.2">
      <c r="A196" s="167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8" t="s">
        <v>248</v>
      </c>
      <c r="AV196" s="168" t="s">
        <v>209</v>
      </c>
      <c r="AW196" s="218">
        <v>0.15</v>
      </c>
      <c r="AX196" s="221" t="e">
        <f t="shared" si="13"/>
        <v>#REF!</v>
      </c>
      <c r="AY196" s="167" t="s">
        <v>113</v>
      </c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241"/>
      <c r="BL196" s="167"/>
      <c r="BM196" s="167"/>
      <c r="BN196" s="167"/>
      <c r="BO196" s="167"/>
      <c r="BP196" s="167"/>
      <c r="BQ196" s="167"/>
      <c r="BR196" s="167"/>
      <c r="BS196" s="167"/>
      <c r="BT196" s="167"/>
      <c r="BU196" s="167"/>
      <c r="BV196" s="167"/>
      <c r="BW196" s="167"/>
      <c r="BX196" s="167"/>
      <c r="BY196" s="167"/>
      <c r="BZ196" s="167"/>
      <c r="CA196" s="167"/>
      <c r="CB196" s="167"/>
      <c r="CC196" s="167"/>
      <c r="CD196" s="167"/>
      <c r="CE196" s="167"/>
      <c r="CF196" s="167"/>
      <c r="CG196" s="167"/>
      <c r="CH196" s="167"/>
      <c r="CI196" s="167"/>
      <c r="CJ196" s="167"/>
      <c r="CK196" s="167"/>
      <c r="CL196" s="167"/>
      <c r="CM196" s="167"/>
      <c r="CN196" s="167"/>
      <c r="CO196" s="167"/>
      <c r="CP196" s="167"/>
    </row>
    <row r="197" spans="1:94" x14ac:dyDescent="0.2">
      <c r="A197" s="167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 t="s">
        <v>79</v>
      </c>
      <c r="AV197" s="167"/>
      <c r="AW197" s="215">
        <f>SUM(AW188:AW196)</f>
        <v>1</v>
      </c>
      <c r="AX197" s="204" t="e">
        <f>AV187*AX187</f>
        <v>#REF!</v>
      </c>
      <c r="AY197" s="167" t="s">
        <v>113</v>
      </c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241"/>
      <c r="BL197" s="167"/>
      <c r="BM197" s="167"/>
      <c r="BN197" s="167"/>
      <c r="BO197" s="167"/>
      <c r="BP197" s="167"/>
      <c r="BQ197" s="167"/>
      <c r="BR197" s="167"/>
      <c r="BS197" s="167"/>
      <c r="BT197" s="167"/>
      <c r="BU197" s="167"/>
      <c r="BV197" s="167"/>
      <c r="BW197" s="167"/>
      <c r="BX197" s="167"/>
      <c r="BY197" s="167"/>
      <c r="BZ197" s="167"/>
      <c r="CA197" s="167"/>
      <c r="CB197" s="167"/>
      <c r="CC197" s="167"/>
      <c r="CD197" s="167"/>
      <c r="CE197" s="167"/>
      <c r="CF197" s="167"/>
      <c r="CG197" s="167"/>
      <c r="CH197" s="167"/>
      <c r="CI197" s="167"/>
      <c r="CJ197" s="167"/>
      <c r="CK197" s="167"/>
      <c r="CL197" s="167"/>
      <c r="CM197" s="167"/>
      <c r="CN197" s="167"/>
      <c r="CO197" s="167"/>
      <c r="CP197" s="167"/>
    </row>
    <row r="198" spans="1:94" ht="13.5" thickBot="1" x14ac:dyDescent="0.25">
      <c r="A198" s="167"/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241"/>
      <c r="BL198" s="167"/>
      <c r="BM198" s="167"/>
      <c r="BN198" s="167"/>
      <c r="BO198" s="167"/>
      <c r="BP198" s="167"/>
      <c r="BQ198" s="167"/>
      <c r="BR198" s="167"/>
      <c r="BS198" s="167"/>
      <c r="BT198" s="167"/>
      <c r="BU198" s="167"/>
      <c r="BV198" s="167"/>
      <c r="BW198" s="167"/>
      <c r="BX198" s="167"/>
      <c r="BY198" s="167"/>
      <c r="BZ198" s="167"/>
      <c r="CA198" s="167"/>
      <c r="CB198" s="167"/>
      <c r="CC198" s="167"/>
      <c r="CD198" s="167"/>
      <c r="CE198" s="167"/>
      <c r="CF198" s="167"/>
      <c r="CG198" s="167"/>
      <c r="CH198" s="167"/>
      <c r="CI198" s="167"/>
      <c r="CJ198" s="167"/>
      <c r="CK198" s="167"/>
      <c r="CL198" s="167"/>
      <c r="CM198" s="167"/>
      <c r="CN198" s="167"/>
      <c r="CO198" s="167"/>
      <c r="CP198" s="167"/>
    </row>
    <row r="199" spans="1:94" ht="13.5" thickBot="1" x14ac:dyDescent="0.25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230" t="s">
        <v>337</v>
      </c>
      <c r="AV199" s="188" t="e">
        <f>#REF!</f>
        <v>#REF!</v>
      </c>
      <c r="AW199" s="189" t="s">
        <v>64</v>
      </c>
      <c r="AX199" s="292">
        <f>803.49/205</f>
        <v>3.9194634146341465</v>
      </c>
      <c r="AY199" s="189" t="s">
        <v>58</v>
      </c>
      <c r="AZ199" s="191" t="s">
        <v>212</v>
      </c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241"/>
      <c r="BL199" s="167"/>
      <c r="BM199" s="167"/>
      <c r="BN199" s="167"/>
      <c r="BO199" s="167"/>
      <c r="BP199" s="167"/>
      <c r="BQ199" s="167"/>
      <c r="BR199" s="167"/>
      <c r="BS199" s="167"/>
      <c r="BT199" s="167"/>
      <c r="BU199" s="167"/>
      <c r="BV199" s="167"/>
      <c r="BW199" s="167"/>
      <c r="BX199" s="167"/>
      <c r="BY199" s="167"/>
      <c r="BZ199" s="167"/>
      <c r="CA199" s="167"/>
      <c r="CB199" s="167"/>
      <c r="CC199" s="167"/>
      <c r="CD199" s="167"/>
      <c r="CE199" s="167"/>
      <c r="CF199" s="167"/>
      <c r="CG199" s="167"/>
      <c r="CH199" s="167"/>
      <c r="CI199" s="167"/>
      <c r="CJ199" s="167"/>
      <c r="CK199" s="167"/>
      <c r="CL199" s="167"/>
      <c r="CM199" s="167"/>
      <c r="CN199" s="167"/>
      <c r="CO199" s="167"/>
      <c r="CP199" s="167"/>
    </row>
    <row r="200" spans="1:94" x14ac:dyDescent="0.2">
      <c r="A200" s="167"/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299" t="s">
        <v>62</v>
      </c>
      <c r="AV200" s="209"/>
      <c r="AW200" s="289">
        <f>AW208-SUM(AW201:AW207)</f>
        <v>0.3899999999999999</v>
      </c>
      <c r="AX200" s="209" t="e">
        <f>AX208-SUM(AX201:AX207)</f>
        <v>#REF!</v>
      </c>
      <c r="AY200" s="167" t="s">
        <v>113</v>
      </c>
      <c r="AZ200" s="191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241"/>
      <c r="BL200" s="167"/>
      <c r="BM200" s="167"/>
      <c r="BN200" s="167"/>
      <c r="BO200" s="167"/>
      <c r="BP200" s="167"/>
      <c r="BQ200" s="167"/>
      <c r="BR200" s="167"/>
      <c r="BS200" s="167"/>
      <c r="BT200" s="167"/>
      <c r="BU200" s="167"/>
      <c r="BV200" s="167"/>
      <c r="BW200" s="167"/>
      <c r="BX200" s="167"/>
      <c r="BY200" s="167"/>
      <c r="BZ200" s="167"/>
      <c r="CA200" s="167"/>
      <c r="CB200" s="167"/>
      <c r="CC200" s="167"/>
      <c r="CD200" s="167"/>
      <c r="CE200" s="167"/>
      <c r="CF200" s="167"/>
      <c r="CG200" s="167"/>
      <c r="CH200" s="167"/>
      <c r="CI200" s="167"/>
      <c r="CJ200" s="167"/>
      <c r="CK200" s="167"/>
      <c r="CL200" s="167"/>
      <c r="CM200" s="167"/>
      <c r="CN200" s="167"/>
      <c r="CO200" s="167"/>
      <c r="CP200" s="167"/>
    </row>
    <row r="201" spans="1:94" x14ac:dyDescent="0.2">
      <c r="A201" s="167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91" t="s">
        <v>70</v>
      </c>
      <c r="AV201" s="169" t="s">
        <v>20</v>
      </c>
      <c r="AW201" s="203">
        <v>0.15</v>
      </c>
      <c r="AX201" s="204" t="e">
        <f>AX208*AW201</f>
        <v>#REF!</v>
      </c>
      <c r="AY201" s="167" t="s">
        <v>113</v>
      </c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241"/>
      <c r="BL201" s="167"/>
      <c r="BM201" s="167"/>
      <c r="BN201" s="167"/>
      <c r="BO201" s="167"/>
      <c r="BP201" s="167"/>
      <c r="BQ201" s="167"/>
      <c r="BR201" s="167"/>
      <c r="BS201" s="167"/>
      <c r="BT201" s="167"/>
      <c r="BU201" s="167"/>
      <c r="BV201" s="167"/>
      <c r="BW201" s="167"/>
      <c r="BX201" s="167"/>
      <c r="BY201" s="167"/>
      <c r="BZ201" s="167"/>
      <c r="CA201" s="167"/>
      <c r="CB201" s="167"/>
      <c r="CC201" s="167"/>
      <c r="CD201" s="167"/>
      <c r="CE201" s="167"/>
      <c r="CF201" s="167"/>
      <c r="CG201" s="167"/>
      <c r="CH201" s="167"/>
      <c r="CI201" s="167"/>
      <c r="CJ201" s="167"/>
      <c r="CK201" s="167"/>
      <c r="CL201" s="167"/>
      <c r="CM201" s="167"/>
      <c r="CN201" s="167"/>
      <c r="CO201" s="167"/>
      <c r="CP201" s="167"/>
    </row>
    <row r="202" spans="1:94" x14ac:dyDescent="0.2">
      <c r="A202" s="167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91" t="s">
        <v>74</v>
      </c>
      <c r="AV202" s="169" t="s">
        <v>29</v>
      </c>
      <c r="AW202" s="279">
        <v>0.15</v>
      </c>
      <c r="AX202" s="204" t="e">
        <f t="shared" ref="AX202:AX207" si="14">AX$208*AW202</f>
        <v>#REF!</v>
      </c>
      <c r="AY202" s="167" t="s">
        <v>113</v>
      </c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241"/>
      <c r="BL202" s="167"/>
      <c r="BM202" s="167"/>
      <c r="BN202" s="167"/>
      <c r="BO202" s="167"/>
      <c r="BP202" s="167"/>
      <c r="BQ202" s="167"/>
      <c r="BR202" s="167"/>
      <c r="BS202" s="167"/>
      <c r="BT202" s="167"/>
      <c r="BU202" s="167"/>
      <c r="BV202" s="167"/>
      <c r="BW202" s="167"/>
      <c r="BX202" s="167"/>
      <c r="BY202" s="167"/>
      <c r="BZ202" s="167"/>
      <c r="CA202" s="167"/>
      <c r="CB202" s="167"/>
      <c r="CC202" s="167"/>
      <c r="CD202" s="167"/>
      <c r="CE202" s="167"/>
      <c r="CF202" s="167"/>
      <c r="CG202" s="167"/>
      <c r="CH202" s="167"/>
      <c r="CI202" s="167"/>
      <c r="CJ202" s="167"/>
      <c r="CK202" s="167"/>
      <c r="CL202" s="167"/>
      <c r="CM202" s="167"/>
      <c r="CN202" s="167"/>
      <c r="CO202" s="167"/>
      <c r="CP202" s="167"/>
    </row>
    <row r="203" spans="1:94" x14ac:dyDescent="0.2">
      <c r="A203" s="167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67"/>
      <c r="AT203" s="167"/>
      <c r="AU203" s="191" t="s">
        <v>229</v>
      </c>
      <c r="AV203" s="169" t="s">
        <v>94</v>
      </c>
      <c r="AW203" s="279">
        <v>7.0000000000000007E-2</v>
      </c>
      <c r="AX203" s="204" t="e">
        <f t="shared" si="14"/>
        <v>#REF!</v>
      </c>
      <c r="AY203" s="167" t="s">
        <v>113</v>
      </c>
      <c r="AZ203" s="167"/>
      <c r="BA203" s="167"/>
      <c r="BB203" s="167"/>
      <c r="BC203" s="167"/>
      <c r="BD203" s="167"/>
      <c r="BE203" s="167"/>
      <c r="BF203" s="167"/>
      <c r="BG203" s="167"/>
      <c r="BH203" s="167"/>
      <c r="BI203" s="167"/>
      <c r="BJ203" s="167"/>
      <c r="BK203" s="241"/>
      <c r="BL203" s="167"/>
      <c r="BM203" s="167"/>
      <c r="BN203" s="167"/>
      <c r="BO203" s="167"/>
      <c r="BP203" s="167"/>
      <c r="BQ203" s="167"/>
      <c r="BR203" s="167"/>
      <c r="BS203" s="167"/>
      <c r="BT203" s="167"/>
      <c r="BU203" s="167"/>
      <c r="BV203" s="167"/>
      <c r="BW203" s="167"/>
      <c r="BX203" s="167"/>
      <c r="BY203" s="167"/>
      <c r="BZ203" s="167"/>
      <c r="CA203" s="167"/>
      <c r="CB203" s="167"/>
      <c r="CC203" s="167"/>
      <c r="CD203" s="167"/>
      <c r="CE203" s="167"/>
      <c r="CF203" s="167"/>
      <c r="CG203" s="167"/>
      <c r="CH203" s="167"/>
      <c r="CI203" s="167"/>
      <c r="CJ203" s="167"/>
      <c r="CK203" s="167"/>
      <c r="CL203" s="167"/>
      <c r="CM203" s="167"/>
      <c r="CN203" s="167"/>
      <c r="CO203" s="167"/>
      <c r="CP203" s="167"/>
    </row>
    <row r="204" spans="1:94" x14ac:dyDescent="0.2">
      <c r="A204" s="167"/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91" t="s">
        <v>76</v>
      </c>
      <c r="AV204" s="169" t="s">
        <v>31</v>
      </c>
      <c r="AW204" s="279">
        <v>0.06</v>
      </c>
      <c r="AX204" s="204" t="e">
        <f t="shared" si="14"/>
        <v>#REF!</v>
      </c>
      <c r="AY204" s="167" t="s">
        <v>113</v>
      </c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241"/>
      <c r="BL204" s="167"/>
      <c r="BM204" s="167"/>
      <c r="BN204" s="167"/>
      <c r="BO204" s="167"/>
      <c r="BP204" s="167"/>
      <c r="BQ204" s="167"/>
      <c r="BR204" s="167"/>
      <c r="BS204" s="167"/>
      <c r="BT204" s="167"/>
      <c r="BU204" s="167"/>
      <c r="BV204" s="167"/>
      <c r="BW204" s="167"/>
      <c r="BX204" s="167"/>
      <c r="BY204" s="167"/>
      <c r="BZ204" s="167"/>
      <c r="CA204" s="167"/>
      <c r="CB204" s="167"/>
      <c r="CC204" s="167"/>
      <c r="CD204" s="167"/>
      <c r="CE204" s="167"/>
      <c r="CF204" s="167"/>
      <c r="CG204" s="167"/>
      <c r="CH204" s="167"/>
      <c r="CI204" s="167"/>
      <c r="CJ204" s="167"/>
      <c r="CK204" s="167"/>
      <c r="CL204" s="167"/>
      <c r="CM204" s="167"/>
      <c r="CN204" s="167"/>
      <c r="CO204" s="167"/>
      <c r="CP204" s="167"/>
    </row>
    <row r="205" spans="1:94" x14ac:dyDescent="0.2">
      <c r="A205" s="167"/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91" t="s">
        <v>338</v>
      </c>
      <c r="AV205" s="191" t="s">
        <v>23</v>
      </c>
      <c r="AW205" s="297">
        <v>0.02</v>
      </c>
      <c r="AX205" s="204" t="e">
        <f t="shared" si="14"/>
        <v>#REF!</v>
      </c>
      <c r="AY205" s="167" t="s">
        <v>113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241"/>
      <c r="BL205" s="167"/>
      <c r="BM205" s="167"/>
      <c r="BN205" s="167"/>
      <c r="BO205" s="167"/>
      <c r="BP205" s="167"/>
      <c r="BQ205" s="167"/>
      <c r="BR205" s="167"/>
      <c r="BS205" s="167"/>
      <c r="BT205" s="167"/>
      <c r="BU205" s="167"/>
      <c r="BV205" s="167"/>
      <c r="BW205" s="167"/>
      <c r="BX205" s="167"/>
      <c r="BY205" s="167"/>
      <c r="BZ205" s="167"/>
      <c r="CA205" s="167"/>
      <c r="CB205" s="167"/>
      <c r="CC205" s="167"/>
      <c r="CD205" s="167"/>
      <c r="CE205" s="167"/>
      <c r="CF205" s="167"/>
      <c r="CG205" s="167"/>
      <c r="CH205" s="167"/>
      <c r="CI205" s="167"/>
      <c r="CJ205" s="167"/>
      <c r="CK205" s="167"/>
      <c r="CL205" s="167"/>
      <c r="CM205" s="167"/>
      <c r="CN205" s="167"/>
      <c r="CO205" s="167"/>
      <c r="CP205" s="167"/>
    </row>
    <row r="206" spans="1:94" x14ac:dyDescent="0.2">
      <c r="A206" s="167"/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91" t="s">
        <v>247</v>
      </c>
      <c r="AV206" s="191" t="s">
        <v>211</v>
      </c>
      <c r="AW206" s="297">
        <v>0.09</v>
      </c>
      <c r="AX206" s="204" t="e">
        <f t="shared" si="14"/>
        <v>#REF!</v>
      </c>
      <c r="AY206" s="167" t="s">
        <v>113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241"/>
      <c r="BL206" s="167"/>
      <c r="BM206" s="167"/>
      <c r="BN206" s="167"/>
      <c r="BO206" s="167"/>
      <c r="BP206" s="167"/>
      <c r="BQ206" s="167"/>
      <c r="BR206" s="167"/>
      <c r="BS206" s="167"/>
      <c r="BT206" s="167"/>
      <c r="BU206" s="167"/>
      <c r="BV206" s="167"/>
      <c r="BW206" s="167"/>
      <c r="BX206" s="167"/>
      <c r="BY206" s="167"/>
      <c r="BZ206" s="167"/>
      <c r="CA206" s="167"/>
      <c r="CB206" s="167"/>
      <c r="CC206" s="167"/>
      <c r="CD206" s="167"/>
      <c r="CE206" s="167"/>
      <c r="CF206" s="167"/>
      <c r="CG206" s="167"/>
      <c r="CH206" s="167"/>
      <c r="CI206" s="167"/>
      <c r="CJ206" s="167"/>
      <c r="CK206" s="167"/>
      <c r="CL206" s="167"/>
      <c r="CM206" s="167"/>
      <c r="CN206" s="167"/>
      <c r="CO206" s="167"/>
      <c r="CP206" s="167"/>
    </row>
    <row r="207" spans="1:94" x14ac:dyDescent="0.2">
      <c r="A207" s="167"/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91" t="s">
        <v>248</v>
      </c>
      <c r="AV207" s="191" t="s">
        <v>209</v>
      </c>
      <c r="AW207" s="298">
        <v>7.0000000000000007E-2</v>
      </c>
      <c r="AX207" s="221" t="e">
        <f t="shared" si="14"/>
        <v>#REF!</v>
      </c>
      <c r="AY207" s="167" t="s">
        <v>113</v>
      </c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241"/>
      <c r="BL207" s="167"/>
      <c r="BM207" s="167"/>
      <c r="BN207" s="167"/>
      <c r="BO207" s="167"/>
      <c r="BP207" s="167"/>
      <c r="BQ207" s="167"/>
      <c r="BR207" s="167"/>
      <c r="BS207" s="167"/>
      <c r="BT207" s="167"/>
      <c r="BU207" s="167"/>
      <c r="BV207" s="167"/>
      <c r="BW207" s="167"/>
      <c r="BX207" s="167"/>
      <c r="BY207" s="167"/>
      <c r="BZ207" s="167"/>
      <c r="CA207" s="167"/>
      <c r="CB207" s="167"/>
      <c r="CC207" s="167"/>
      <c r="CD207" s="167"/>
      <c r="CE207" s="167"/>
      <c r="CF207" s="167"/>
      <c r="CG207" s="167"/>
      <c r="CH207" s="167"/>
      <c r="CI207" s="167"/>
      <c r="CJ207" s="167"/>
      <c r="CK207" s="167"/>
      <c r="CL207" s="167"/>
      <c r="CM207" s="167"/>
      <c r="CN207" s="167"/>
      <c r="CO207" s="167"/>
      <c r="CP207" s="167"/>
    </row>
    <row r="208" spans="1:94" x14ac:dyDescent="0.2">
      <c r="A208" s="167"/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91" t="s">
        <v>79</v>
      </c>
      <c r="AV208" s="169"/>
      <c r="AW208" s="297">
        <v>1</v>
      </c>
      <c r="AX208" s="204" t="e">
        <f>AV199*AX199</f>
        <v>#REF!</v>
      </c>
      <c r="AY208" s="167" t="s">
        <v>113</v>
      </c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241"/>
      <c r="BL208" s="167"/>
      <c r="BM208" s="167"/>
      <c r="BN208" s="167"/>
      <c r="BO208" s="167"/>
      <c r="BP208" s="167"/>
      <c r="BQ208" s="167"/>
      <c r="BR208" s="167"/>
      <c r="BS208" s="167"/>
      <c r="BT208" s="167"/>
      <c r="BU208" s="167"/>
      <c r="BV208" s="167"/>
      <c r="BW208" s="167"/>
      <c r="BX208" s="167"/>
      <c r="BY208" s="167"/>
      <c r="BZ208" s="167"/>
      <c r="CA208" s="167"/>
      <c r="CB208" s="167"/>
      <c r="CC208" s="167"/>
      <c r="CD208" s="167"/>
      <c r="CE208" s="167"/>
      <c r="CF208" s="167"/>
      <c r="CG208" s="167"/>
      <c r="CH208" s="167"/>
      <c r="CI208" s="167"/>
      <c r="CJ208" s="167"/>
      <c r="CK208" s="167"/>
      <c r="CL208" s="167"/>
      <c r="CM208" s="167"/>
      <c r="CN208" s="167"/>
      <c r="CO208" s="167"/>
      <c r="CP208" s="167"/>
    </row>
    <row r="209" spans="1:94" ht="13.5" thickBot="1" x14ac:dyDescent="0.25">
      <c r="A209" s="167"/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241"/>
      <c r="BL209" s="167"/>
      <c r="BM209" s="167"/>
      <c r="BN209" s="167"/>
      <c r="BO209" s="167"/>
      <c r="BP209" s="167"/>
      <c r="BQ209" s="167"/>
      <c r="BR209" s="167"/>
      <c r="BS209" s="167"/>
      <c r="BT209" s="167"/>
      <c r="BU209" s="167"/>
      <c r="BV209" s="167"/>
      <c r="BW209" s="167"/>
      <c r="BX209" s="167"/>
      <c r="BY209" s="167"/>
      <c r="BZ209" s="167"/>
      <c r="CA209" s="167"/>
      <c r="CB209" s="167"/>
      <c r="CC209" s="167"/>
      <c r="CD209" s="167"/>
      <c r="CE209" s="167"/>
      <c r="CF209" s="167"/>
      <c r="CG209" s="167"/>
      <c r="CH209" s="167"/>
      <c r="CI209" s="167"/>
      <c r="CJ209" s="167"/>
      <c r="CK209" s="167"/>
      <c r="CL209" s="167"/>
      <c r="CM209" s="167"/>
      <c r="CN209" s="167"/>
      <c r="CO209" s="167"/>
      <c r="CP209" s="167"/>
    </row>
    <row r="210" spans="1:94" ht="13.5" thickBot="1" x14ac:dyDescent="0.25">
      <c r="A210" s="167"/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239" t="s">
        <v>263</v>
      </c>
      <c r="AV210" s="204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241"/>
      <c r="BL210" s="167"/>
      <c r="BM210" s="167"/>
      <c r="BN210" s="167"/>
      <c r="BO210" s="167"/>
      <c r="BP210" s="167"/>
      <c r="BQ210" s="167"/>
      <c r="BR210" s="167"/>
      <c r="BS210" s="167"/>
      <c r="BT210" s="167"/>
      <c r="BU210" s="167"/>
      <c r="BV210" s="167"/>
      <c r="BW210" s="167"/>
      <c r="BX210" s="167"/>
      <c r="BY210" s="167"/>
      <c r="BZ210" s="167"/>
      <c r="CA210" s="167"/>
      <c r="CB210" s="167"/>
      <c r="CC210" s="167"/>
      <c r="CD210" s="167"/>
      <c r="CE210" s="167"/>
      <c r="CF210" s="167"/>
      <c r="CG210" s="167"/>
      <c r="CH210" s="167"/>
      <c r="CI210" s="167"/>
      <c r="CJ210" s="167"/>
      <c r="CK210" s="167"/>
      <c r="CL210" s="167"/>
      <c r="CM210" s="167"/>
      <c r="CN210" s="167"/>
      <c r="CO210" s="167"/>
      <c r="CP210" s="167"/>
    </row>
    <row r="211" spans="1:94" ht="13.5" thickBot="1" x14ac:dyDescent="0.25">
      <c r="A211" s="167"/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230" t="s">
        <v>288</v>
      </c>
      <c r="AV211" s="188" t="e">
        <f>#REF!</f>
        <v>#REF!</v>
      </c>
      <c r="AW211" s="211" t="s">
        <v>57</v>
      </c>
      <c r="AX211" s="190">
        <v>1.0309999999999999</v>
      </c>
      <c r="AY211" s="189" t="s">
        <v>58</v>
      </c>
      <c r="AZ211" s="191" t="s">
        <v>212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241"/>
      <c r="BL211" s="167"/>
      <c r="BM211" s="167"/>
      <c r="BN211" s="167"/>
      <c r="BO211" s="167"/>
      <c r="BP211" s="167"/>
      <c r="BQ211" s="167"/>
      <c r="BR211" s="167"/>
      <c r="BS211" s="167"/>
      <c r="BT211" s="167"/>
      <c r="BU211" s="167"/>
      <c r="BV211" s="167"/>
      <c r="BW211" s="167"/>
      <c r="BX211" s="167"/>
      <c r="BY211" s="167"/>
      <c r="BZ211" s="167"/>
      <c r="CA211" s="167"/>
      <c r="CB211" s="167"/>
      <c r="CC211" s="167"/>
      <c r="CD211" s="167"/>
      <c r="CE211" s="167"/>
      <c r="CF211" s="167"/>
      <c r="CG211" s="167"/>
      <c r="CH211" s="167"/>
      <c r="CI211" s="167"/>
      <c r="CJ211" s="167"/>
      <c r="CK211" s="167"/>
      <c r="CL211" s="167"/>
      <c r="CM211" s="167"/>
      <c r="CN211" s="167"/>
      <c r="CO211" s="167"/>
      <c r="CP211" s="167"/>
    </row>
    <row r="212" spans="1:94" x14ac:dyDescent="0.2">
      <c r="A212" s="167"/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8" t="s">
        <v>62</v>
      </c>
      <c r="AV212" s="167"/>
      <c r="AW212" s="215">
        <f>AW219-SUM(AW213:AW218)</f>
        <v>0.6</v>
      </c>
      <c r="AX212" s="204" t="e">
        <f t="shared" ref="AX212:AX218" si="15">AW212*AX$219</f>
        <v>#REF!</v>
      </c>
      <c r="AY212" s="167" t="s">
        <v>113</v>
      </c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241"/>
      <c r="BL212" s="167"/>
      <c r="BM212" s="167"/>
      <c r="BN212" s="167"/>
      <c r="BO212" s="167"/>
      <c r="BP212" s="167"/>
      <c r="BQ212" s="167"/>
      <c r="BR212" s="167"/>
      <c r="BS212" s="167"/>
      <c r="BT212" s="167"/>
      <c r="BU212" s="167"/>
      <c r="BV212" s="167"/>
      <c r="BW212" s="167"/>
      <c r="BX212" s="167"/>
      <c r="BY212" s="167"/>
      <c r="BZ212" s="167"/>
      <c r="CA212" s="167"/>
      <c r="CB212" s="167"/>
      <c r="CC212" s="167"/>
      <c r="CD212" s="167"/>
      <c r="CE212" s="167"/>
      <c r="CF212" s="167"/>
      <c r="CG212" s="167"/>
      <c r="CH212" s="167"/>
      <c r="CI212" s="167"/>
      <c r="CJ212" s="167"/>
      <c r="CK212" s="167"/>
      <c r="CL212" s="167"/>
      <c r="CM212" s="167"/>
      <c r="CN212" s="167"/>
      <c r="CO212" s="167"/>
      <c r="CP212" s="167"/>
    </row>
    <row r="213" spans="1:94" ht="13.5" customHeight="1" x14ac:dyDescent="0.2">
      <c r="A213" s="167"/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91" t="s">
        <v>55</v>
      </c>
      <c r="AV213" s="191" t="s">
        <v>35</v>
      </c>
      <c r="AW213" s="279">
        <v>0.2</v>
      </c>
      <c r="AX213" s="204" t="e">
        <f t="shared" si="15"/>
        <v>#REF!</v>
      </c>
      <c r="AY213" s="167" t="s">
        <v>113</v>
      </c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241"/>
      <c r="BL213" s="167"/>
      <c r="BM213" s="167"/>
      <c r="BN213" s="167"/>
      <c r="BO213" s="167"/>
      <c r="BP213" s="167"/>
      <c r="BQ213" s="167"/>
      <c r="BR213" s="167"/>
      <c r="BS213" s="167"/>
      <c r="BT213" s="167"/>
      <c r="BU213" s="167"/>
      <c r="BV213" s="167"/>
      <c r="BW213" s="167"/>
      <c r="BX213" s="167"/>
      <c r="BY213" s="167"/>
      <c r="BZ213" s="167"/>
      <c r="CA213" s="167"/>
      <c r="CB213" s="167"/>
      <c r="CC213" s="167"/>
      <c r="CD213" s="167"/>
      <c r="CE213" s="167"/>
      <c r="CF213" s="167"/>
      <c r="CG213" s="167"/>
      <c r="CH213" s="167"/>
      <c r="CI213" s="167"/>
      <c r="CJ213" s="167"/>
      <c r="CK213" s="167"/>
      <c r="CL213" s="167"/>
      <c r="CM213" s="167"/>
      <c r="CN213" s="167"/>
      <c r="CO213" s="167"/>
      <c r="CP213" s="167"/>
    </row>
    <row r="214" spans="1:94" x14ac:dyDescent="0.2">
      <c r="A214" s="167"/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91" t="s">
        <v>282</v>
      </c>
      <c r="AV214" s="191" t="s">
        <v>281</v>
      </c>
      <c r="AW214" s="279">
        <v>7.0000000000000007E-2</v>
      </c>
      <c r="AX214" s="204" t="e">
        <f t="shared" si="15"/>
        <v>#REF!</v>
      </c>
      <c r="AY214" s="167" t="s">
        <v>113</v>
      </c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241"/>
      <c r="BL214" s="167"/>
      <c r="BM214" s="167"/>
      <c r="BN214" s="167"/>
      <c r="BO214" s="167"/>
      <c r="BP214" s="167"/>
      <c r="BQ214" s="167"/>
      <c r="BR214" s="167"/>
      <c r="BS214" s="167"/>
      <c r="BT214" s="167"/>
      <c r="BU214" s="167"/>
      <c r="BV214" s="167"/>
      <c r="BW214" s="167"/>
      <c r="BX214" s="167"/>
      <c r="BY214" s="167"/>
      <c r="BZ214" s="167"/>
      <c r="CA214" s="167"/>
      <c r="CB214" s="167"/>
      <c r="CC214" s="167"/>
      <c r="CD214" s="167"/>
      <c r="CE214" s="167"/>
      <c r="CF214" s="167"/>
      <c r="CG214" s="167"/>
      <c r="CH214" s="167"/>
      <c r="CI214" s="167"/>
      <c r="CJ214" s="167"/>
      <c r="CK214" s="167"/>
      <c r="CL214" s="167"/>
      <c r="CM214" s="167"/>
      <c r="CN214" s="167"/>
      <c r="CO214" s="167"/>
      <c r="CP214" s="167"/>
    </row>
    <row r="215" spans="1:94" x14ac:dyDescent="0.2">
      <c r="A215" s="167"/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91" t="s">
        <v>283</v>
      </c>
      <c r="AV215" s="169" t="s">
        <v>23</v>
      </c>
      <c r="AW215" s="279">
        <v>0.04</v>
      </c>
      <c r="AX215" s="204" t="e">
        <f t="shared" si="15"/>
        <v>#REF!</v>
      </c>
      <c r="AY215" s="167" t="s">
        <v>113</v>
      </c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241"/>
      <c r="BL215" s="167"/>
      <c r="BM215" s="167"/>
      <c r="BN215" s="167"/>
      <c r="BO215" s="167"/>
      <c r="BP215" s="167"/>
      <c r="BQ215" s="167"/>
      <c r="BR215" s="167"/>
      <c r="BS215" s="167"/>
      <c r="BT215" s="167"/>
      <c r="BU215" s="167"/>
      <c r="BV215" s="167"/>
      <c r="BW215" s="167"/>
      <c r="BX215" s="167"/>
      <c r="BY215" s="167"/>
      <c r="BZ215" s="167"/>
      <c r="CA215" s="167"/>
      <c r="CB215" s="167"/>
      <c r="CC215" s="167"/>
      <c r="CD215" s="167"/>
      <c r="CE215" s="167"/>
      <c r="CF215" s="167"/>
      <c r="CG215" s="167"/>
      <c r="CH215" s="167"/>
      <c r="CI215" s="167"/>
      <c r="CJ215" s="167"/>
      <c r="CK215" s="167"/>
      <c r="CL215" s="167"/>
      <c r="CM215" s="167"/>
      <c r="CN215" s="167"/>
      <c r="CO215" s="167"/>
      <c r="CP215" s="167"/>
    </row>
    <row r="216" spans="1:94" x14ac:dyDescent="0.2">
      <c r="A216" s="167"/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91" t="s">
        <v>285</v>
      </c>
      <c r="AV216" s="191" t="s">
        <v>284</v>
      </c>
      <c r="AW216" s="279">
        <v>0.02</v>
      </c>
      <c r="AX216" s="204" t="e">
        <f t="shared" si="15"/>
        <v>#REF!</v>
      </c>
      <c r="AY216" s="167" t="s">
        <v>113</v>
      </c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241"/>
      <c r="BL216" s="167"/>
      <c r="BM216" s="167"/>
      <c r="BN216" s="167"/>
      <c r="BO216" s="167"/>
      <c r="BP216" s="167"/>
      <c r="BQ216" s="167"/>
      <c r="BR216" s="167"/>
      <c r="BS216" s="167"/>
      <c r="BT216" s="167"/>
      <c r="BU216" s="167"/>
      <c r="BV216" s="167"/>
      <c r="BW216" s="167"/>
      <c r="BX216" s="167"/>
      <c r="BY216" s="167"/>
      <c r="BZ216" s="167"/>
      <c r="CA216" s="167"/>
      <c r="CB216" s="167"/>
      <c r="CC216" s="167"/>
      <c r="CD216" s="167"/>
      <c r="CE216" s="167"/>
      <c r="CF216" s="167"/>
      <c r="CG216" s="167"/>
      <c r="CH216" s="167"/>
      <c r="CI216" s="167"/>
      <c r="CJ216" s="167"/>
      <c r="CK216" s="167"/>
      <c r="CL216" s="167"/>
      <c r="CM216" s="167"/>
      <c r="CN216" s="167"/>
      <c r="CO216" s="167"/>
      <c r="CP216" s="167"/>
    </row>
    <row r="217" spans="1:94" x14ac:dyDescent="0.2">
      <c r="A217" s="167"/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91" t="s">
        <v>302</v>
      </c>
      <c r="AV217" s="191" t="s">
        <v>36</v>
      </c>
      <c r="AW217" s="279">
        <v>0.02</v>
      </c>
      <c r="AX217" s="204" t="e">
        <f t="shared" si="15"/>
        <v>#REF!</v>
      </c>
      <c r="AY217" s="167" t="s">
        <v>113</v>
      </c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241"/>
      <c r="BL217" s="167"/>
      <c r="BM217" s="167"/>
      <c r="BN217" s="167"/>
      <c r="BO217" s="167"/>
      <c r="BP217" s="167"/>
      <c r="BQ217" s="167"/>
      <c r="BR217" s="167"/>
      <c r="BS217" s="167"/>
      <c r="BT217" s="167"/>
      <c r="BU217" s="167"/>
      <c r="BV217" s="167"/>
      <c r="BW217" s="167"/>
      <c r="BX217" s="167"/>
      <c r="BY217" s="167"/>
      <c r="BZ217" s="167"/>
      <c r="CA217" s="167"/>
      <c r="CB217" s="167"/>
      <c r="CC217" s="167"/>
      <c r="CD217" s="167"/>
      <c r="CE217" s="167"/>
      <c r="CF217" s="167"/>
      <c r="CG217" s="167"/>
      <c r="CH217" s="167"/>
      <c r="CI217" s="167"/>
      <c r="CJ217" s="167"/>
      <c r="CK217" s="167"/>
      <c r="CL217" s="167"/>
      <c r="CM217" s="167"/>
      <c r="CN217" s="167"/>
      <c r="CO217" s="167"/>
      <c r="CP217" s="167"/>
    </row>
    <row r="218" spans="1:94" x14ac:dyDescent="0.2">
      <c r="A218" s="167"/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91" t="s">
        <v>301</v>
      </c>
      <c r="AV218" s="191" t="s">
        <v>287</v>
      </c>
      <c r="AW218" s="298">
        <v>0.05</v>
      </c>
      <c r="AX218" s="221" t="e">
        <f t="shared" si="15"/>
        <v>#REF!</v>
      </c>
      <c r="AY218" s="167" t="s">
        <v>113</v>
      </c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241"/>
      <c r="BL218" s="167"/>
      <c r="BM218" s="167"/>
      <c r="BN218" s="167"/>
      <c r="BO218" s="167"/>
      <c r="BP218" s="167"/>
      <c r="BQ218" s="167"/>
      <c r="BR218" s="167"/>
      <c r="BS218" s="167"/>
      <c r="BT218" s="167"/>
      <c r="BU218" s="167"/>
      <c r="BV218" s="167"/>
      <c r="BW218" s="167"/>
      <c r="BX218" s="167"/>
      <c r="BY218" s="167"/>
      <c r="BZ218" s="167"/>
      <c r="CA218" s="167"/>
      <c r="CB218" s="167"/>
      <c r="CC218" s="167"/>
      <c r="CD218" s="167"/>
      <c r="CE218" s="167"/>
      <c r="CF218" s="167"/>
      <c r="CG218" s="167"/>
      <c r="CH218" s="167"/>
      <c r="CI218" s="167"/>
      <c r="CJ218" s="167"/>
      <c r="CK218" s="167"/>
      <c r="CL218" s="167"/>
      <c r="CM218" s="167"/>
      <c r="CN218" s="167"/>
      <c r="CO218" s="167"/>
      <c r="CP218" s="167"/>
    </row>
    <row r="219" spans="1:94" x14ac:dyDescent="0.2">
      <c r="A219" s="167"/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203">
        <v>1</v>
      </c>
      <c r="AX219" s="300" t="e">
        <f>AV211*AX211</f>
        <v>#REF!</v>
      </c>
      <c r="AY219" s="167" t="s">
        <v>113</v>
      </c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241"/>
      <c r="BL219" s="167"/>
      <c r="BM219" s="167"/>
      <c r="BN219" s="167"/>
      <c r="BO219" s="167"/>
      <c r="BP219" s="167"/>
      <c r="BQ219" s="167"/>
      <c r="BR219" s="167"/>
      <c r="BS219" s="167"/>
      <c r="BT219" s="167"/>
      <c r="BU219" s="167"/>
      <c r="BV219" s="167"/>
      <c r="BW219" s="167"/>
      <c r="BX219" s="167"/>
      <c r="BY219" s="167"/>
      <c r="BZ219" s="167"/>
      <c r="CA219" s="167"/>
      <c r="CB219" s="167"/>
      <c r="CC219" s="167"/>
      <c r="CD219" s="167"/>
      <c r="CE219" s="167"/>
      <c r="CF219" s="167"/>
      <c r="CG219" s="167"/>
      <c r="CH219" s="167"/>
      <c r="CI219" s="167"/>
      <c r="CJ219" s="167"/>
      <c r="CK219" s="167"/>
      <c r="CL219" s="167"/>
      <c r="CM219" s="167"/>
      <c r="CN219" s="167"/>
      <c r="CO219" s="167"/>
      <c r="CP219" s="167"/>
    </row>
    <row r="220" spans="1:94" ht="13.5" thickBot="1" x14ac:dyDescent="0.25">
      <c r="A220" s="167"/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241"/>
      <c r="BL220" s="167"/>
      <c r="BM220" s="167"/>
      <c r="BN220" s="167"/>
      <c r="BO220" s="167"/>
      <c r="BP220" s="167"/>
      <c r="BQ220" s="167"/>
      <c r="BR220" s="167"/>
      <c r="BS220" s="167"/>
      <c r="BT220" s="167"/>
      <c r="BU220" s="167"/>
      <c r="BV220" s="167"/>
      <c r="BW220" s="167"/>
      <c r="BX220" s="167"/>
      <c r="BY220" s="167"/>
      <c r="BZ220" s="167"/>
      <c r="CA220" s="167"/>
      <c r="CB220" s="167"/>
      <c r="CC220" s="167"/>
      <c r="CD220" s="167"/>
      <c r="CE220" s="167"/>
      <c r="CF220" s="167"/>
      <c r="CG220" s="167"/>
      <c r="CH220" s="167"/>
      <c r="CI220" s="167"/>
      <c r="CJ220" s="167"/>
      <c r="CK220" s="167"/>
      <c r="CL220" s="167"/>
      <c r="CM220" s="167"/>
      <c r="CN220" s="167"/>
      <c r="CO220" s="167"/>
      <c r="CP220" s="167"/>
    </row>
    <row r="221" spans="1:94" ht="13.5" thickBot="1" x14ac:dyDescent="0.25">
      <c r="A221" s="167"/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230" t="s">
        <v>289</v>
      </c>
      <c r="AV221" s="188" t="e">
        <f>#REF!</f>
        <v>#REF!</v>
      </c>
      <c r="AW221" s="288" t="s">
        <v>113</v>
      </c>
      <c r="AX221" s="214">
        <v>1.1000000000000001</v>
      </c>
      <c r="AY221" s="189" t="s">
        <v>58</v>
      </c>
      <c r="AZ221" s="191" t="s">
        <v>212</v>
      </c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241"/>
      <c r="BL221" s="167"/>
      <c r="BM221" s="167"/>
      <c r="BN221" s="167"/>
      <c r="BO221" s="167"/>
      <c r="BP221" s="167"/>
      <c r="BQ221" s="167"/>
      <c r="BR221" s="167"/>
      <c r="BS221" s="167"/>
      <c r="BT221" s="167"/>
      <c r="BU221" s="167"/>
      <c r="BV221" s="167"/>
      <c r="BW221" s="167"/>
      <c r="BX221" s="167"/>
      <c r="BY221" s="167"/>
      <c r="BZ221" s="167"/>
      <c r="CA221" s="167"/>
      <c r="CB221" s="167"/>
      <c r="CC221" s="167"/>
      <c r="CD221" s="167"/>
      <c r="CE221" s="167"/>
      <c r="CF221" s="167"/>
      <c r="CG221" s="167"/>
      <c r="CH221" s="167"/>
      <c r="CI221" s="167"/>
      <c r="CJ221" s="167"/>
      <c r="CK221" s="167"/>
      <c r="CL221" s="167"/>
      <c r="CM221" s="167"/>
      <c r="CN221" s="167"/>
      <c r="CO221" s="167"/>
      <c r="CP221" s="167"/>
    </row>
    <row r="222" spans="1:94" x14ac:dyDescent="0.2">
      <c r="A222" s="167"/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8" t="s">
        <v>62</v>
      </c>
      <c r="AV222" s="167"/>
      <c r="AW222" s="215">
        <f>AW230-SUM(AW223:AW225)</f>
        <v>0</v>
      </c>
      <c r="AX222" s="204" t="e">
        <f t="shared" ref="AX222:AX229" si="16">AX$230*AW222</f>
        <v>#REF!</v>
      </c>
      <c r="AY222" s="167" t="s">
        <v>113</v>
      </c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241"/>
      <c r="BL222" s="167"/>
      <c r="BM222" s="167"/>
      <c r="BN222" s="167"/>
      <c r="BO222" s="167"/>
      <c r="BP222" s="167"/>
      <c r="BQ222" s="167"/>
      <c r="BR222" s="167"/>
      <c r="BS222" s="167"/>
      <c r="BT222" s="167"/>
      <c r="BU222" s="167"/>
      <c r="BV222" s="167"/>
      <c r="BW222" s="167"/>
      <c r="BX222" s="167"/>
      <c r="BY222" s="167"/>
      <c r="BZ222" s="167"/>
      <c r="CA222" s="167"/>
      <c r="CB222" s="167"/>
      <c r="CC222" s="167"/>
      <c r="CD222" s="167"/>
      <c r="CE222" s="167"/>
      <c r="CF222" s="167"/>
      <c r="CG222" s="167"/>
      <c r="CH222" s="167"/>
      <c r="CI222" s="167"/>
      <c r="CJ222" s="167"/>
      <c r="CK222" s="167"/>
      <c r="CL222" s="167"/>
      <c r="CM222" s="167"/>
      <c r="CN222" s="167"/>
      <c r="CO222" s="167"/>
      <c r="CP222" s="167"/>
    </row>
    <row r="223" spans="1:94" ht="12.75" customHeight="1" x14ac:dyDescent="0.2">
      <c r="A223" s="167"/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91" t="s">
        <v>290</v>
      </c>
      <c r="AV223" s="167" t="s">
        <v>204</v>
      </c>
      <c r="AW223" s="279">
        <v>0.88</v>
      </c>
      <c r="AX223" s="204" t="e">
        <f t="shared" si="16"/>
        <v>#REF!</v>
      </c>
      <c r="AY223" s="167" t="s">
        <v>113</v>
      </c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241"/>
      <c r="BL223" s="167"/>
      <c r="BM223" s="167"/>
      <c r="BN223" s="167"/>
      <c r="BO223" s="167"/>
      <c r="BP223" s="167"/>
      <c r="BQ223" s="167"/>
      <c r="BR223" s="167"/>
      <c r="BS223" s="167"/>
      <c r="BT223" s="167"/>
      <c r="BU223" s="167"/>
      <c r="BV223" s="167"/>
      <c r="BW223" s="167"/>
      <c r="BX223" s="167"/>
      <c r="BY223" s="167"/>
      <c r="BZ223" s="167"/>
      <c r="CA223" s="167"/>
      <c r="CB223" s="167"/>
      <c r="CC223" s="167"/>
      <c r="CD223" s="167"/>
      <c r="CE223" s="167"/>
      <c r="CF223" s="167"/>
      <c r="CG223" s="167"/>
      <c r="CH223" s="167"/>
      <c r="CI223" s="167"/>
      <c r="CJ223" s="167"/>
      <c r="CK223" s="167"/>
      <c r="CL223" s="167"/>
      <c r="CM223" s="167"/>
      <c r="CN223" s="167"/>
      <c r="CO223" s="167"/>
      <c r="CP223" s="167"/>
    </row>
    <row r="224" spans="1:94" x14ac:dyDescent="0.2">
      <c r="A224" s="167"/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91" t="s">
        <v>286</v>
      </c>
      <c r="AV224" s="191" t="s">
        <v>36</v>
      </c>
      <c r="AW224" s="279">
        <v>7.0000000000000007E-2</v>
      </c>
      <c r="AX224" s="204" t="e">
        <f t="shared" si="16"/>
        <v>#REF!</v>
      </c>
      <c r="AY224" s="167" t="s">
        <v>113</v>
      </c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241"/>
      <c r="BL224" s="167"/>
      <c r="BM224" s="167"/>
      <c r="BN224" s="167"/>
      <c r="BO224" s="167"/>
      <c r="BP224" s="167"/>
      <c r="BQ224" s="167"/>
      <c r="BR224" s="167"/>
      <c r="BS224" s="167"/>
      <c r="BT224" s="167"/>
      <c r="BU224" s="167"/>
      <c r="BV224" s="167"/>
      <c r="BW224" s="167"/>
      <c r="BX224" s="167"/>
      <c r="BY224" s="167"/>
      <c r="BZ224" s="167"/>
      <c r="CA224" s="167"/>
      <c r="CB224" s="167"/>
      <c r="CC224" s="167"/>
      <c r="CD224" s="167"/>
      <c r="CE224" s="167"/>
      <c r="CF224" s="167"/>
      <c r="CG224" s="167"/>
      <c r="CH224" s="167"/>
      <c r="CI224" s="167"/>
      <c r="CJ224" s="167"/>
      <c r="CK224" s="167"/>
      <c r="CL224" s="167"/>
      <c r="CM224" s="167"/>
      <c r="CN224" s="167"/>
      <c r="CO224" s="167"/>
      <c r="CP224" s="167"/>
    </row>
    <row r="225" spans="1:94" x14ac:dyDescent="0.2">
      <c r="A225" s="167"/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91" t="s">
        <v>291</v>
      </c>
      <c r="AV225" s="169" t="s">
        <v>25</v>
      </c>
      <c r="AW225" s="217">
        <v>0.05</v>
      </c>
      <c r="AX225" s="204" t="e">
        <f t="shared" si="16"/>
        <v>#REF!</v>
      </c>
      <c r="AY225" s="167" t="s">
        <v>113</v>
      </c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241"/>
      <c r="BL225" s="167"/>
      <c r="BM225" s="167"/>
      <c r="BN225" s="167"/>
      <c r="BO225" s="167"/>
      <c r="BP225" s="167"/>
      <c r="BQ225" s="167"/>
      <c r="BR225" s="167"/>
      <c r="BS225" s="167"/>
      <c r="BT225" s="167"/>
      <c r="BU225" s="167"/>
      <c r="BV225" s="167"/>
      <c r="BW225" s="167"/>
      <c r="BX225" s="167"/>
      <c r="BY225" s="167"/>
      <c r="BZ225" s="167"/>
      <c r="CA225" s="167"/>
      <c r="CB225" s="167"/>
      <c r="CC225" s="167"/>
      <c r="CD225" s="167"/>
      <c r="CE225" s="167"/>
      <c r="CF225" s="167"/>
      <c r="CG225" s="167"/>
      <c r="CH225" s="167"/>
      <c r="CI225" s="167"/>
      <c r="CJ225" s="167"/>
      <c r="CK225" s="167"/>
      <c r="CL225" s="167"/>
      <c r="CM225" s="167"/>
      <c r="CN225" s="167"/>
      <c r="CO225" s="167"/>
      <c r="CP225" s="167"/>
    </row>
    <row r="226" spans="1:94" x14ac:dyDescent="0.2">
      <c r="A226" s="167"/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91" t="s">
        <v>292</v>
      </c>
      <c r="AV226" s="169" t="s">
        <v>97</v>
      </c>
      <c r="AW226" s="301">
        <v>0.02</v>
      </c>
      <c r="AX226" s="204" t="e">
        <f t="shared" si="16"/>
        <v>#REF!</v>
      </c>
      <c r="AY226" s="167" t="s">
        <v>113</v>
      </c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241"/>
      <c r="BL226" s="167"/>
      <c r="BM226" s="167"/>
      <c r="BN226" s="167"/>
      <c r="BO226" s="167"/>
      <c r="BP226" s="167"/>
      <c r="BQ226" s="167"/>
      <c r="BR226" s="167"/>
      <c r="BS226" s="167"/>
      <c r="BT226" s="167"/>
      <c r="BU226" s="167"/>
      <c r="BV226" s="167"/>
      <c r="BW226" s="167"/>
      <c r="BX226" s="167"/>
      <c r="BY226" s="167"/>
      <c r="BZ226" s="167"/>
      <c r="CA226" s="167"/>
      <c r="CB226" s="167"/>
      <c r="CC226" s="167"/>
      <c r="CD226" s="167"/>
      <c r="CE226" s="167"/>
      <c r="CF226" s="167"/>
      <c r="CG226" s="167"/>
      <c r="CH226" s="167"/>
      <c r="CI226" s="167"/>
      <c r="CJ226" s="167"/>
      <c r="CK226" s="167"/>
      <c r="CL226" s="167"/>
      <c r="CM226" s="167"/>
      <c r="CN226" s="167"/>
      <c r="CO226" s="167"/>
      <c r="CP226" s="167"/>
    </row>
    <row r="227" spans="1:94" x14ac:dyDescent="0.2">
      <c r="A227" s="167"/>
      <c r="B227" s="167"/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91" t="s">
        <v>74</v>
      </c>
      <c r="AV227" s="169" t="s">
        <v>29</v>
      </c>
      <c r="AW227" s="301">
        <v>5.0000000000000001E-3</v>
      </c>
      <c r="AX227" s="204" t="e">
        <f t="shared" si="16"/>
        <v>#REF!</v>
      </c>
      <c r="AY227" s="167" t="s">
        <v>113</v>
      </c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241"/>
      <c r="BL227" s="167"/>
      <c r="BM227" s="167"/>
      <c r="BN227" s="167"/>
      <c r="BO227" s="167"/>
      <c r="BP227" s="167"/>
      <c r="BQ227" s="167"/>
      <c r="BR227" s="167"/>
      <c r="BS227" s="167"/>
      <c r="BT227" s="167"/>
      <c r="BU227" s="167"/>
      <c r="BV227" s="167"/>
      <c r="BW227" s="167"/>
      <c r="BX227" s="167"/>
      <c r="BY227" s="167"/>
      <c r="BZ227" s="167"/>
      <c r="CA227" s="167"/>
      <c r="CB227" s="167"/>
      <c r="CC227" s="167"/>
      <c r="CD227" s="167"/>
      <c r="CE227" s="167"/>
      <c r="CF227" s="167"/>
      <c r="CG227" s="167"/>
      <c r="CH227" s="167"/>
      <c r="CI227" s="167"/>
      <c r="CJ227" s="167"/>
      <c r="CK227" s="167"/>
      <c r="CL227" s="167"/>
      <c r="CM227" s="167"/>
      <c r="CN227" s="167"/>
      <c r="CO227" s="167"/>
      <c r="CP227" s="167"/>
    </row>
    <row r="228" spans="1:94" x14ac:dyDescent="0.2">
      <c r="A228" s="167"/>
      <c r="B228" s="167"/>
      <c r="C228" s="167"/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91" t="s">
        <v>293</v>
      </c>
      <c r="AV228" s="169" t="s">
        <v>294</v>
      </c>
      <c r="AW228" s="301">
        <v>5.0000000000000001E-3</v>
      </c>
      <c r="AX228" s="204" t="e">
        <f t="shared" si="16"/>
        <v>#REF!</v>
      </c>
      <c r="AY228" s="167" t="s">
        <v>113</v>
      </c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241"/>
      <c r="BL228" s="167"/>
      <c r="BM228" s="167"/>
      <c r="BN228" s="167"/>
      <c r="BO228" s="167"/>
      <c r="BP228" s="167"/>
      <c r="BQ228" s="167"/>
      <c r="BR228" s="167"/>
      <c r="BS228" s="167"/>
      <c r="BT228" s="167"/>
      <c r="BU228" s="167"/>
      <c r="BV228" s="167"/>
      <c r="BW228" s="167"/>
      <c r="BX228" s="167"/>
      <c r="BY228" s="167"/>
      <c r="BZ228" s="167"/>
      <c r="CA228" s="167"/>
      <c r="CB228" s="167"/>
      <c r="CC228" s="167"/>
      <c r="CD228" s="167"/>
      <c r="CE228" s="167"/>
      <c r="CF228" s="167"/>
      <c r="CG228" s="167"/>
      <c r="CH228" s="167"/>
      <c r="CI228" s="167"/>
      <c r="CJ228" s="167"/>
      <c r="CK228" s="167"/>
      <c r="CL228" s="167"/>
      <c r="CM228" s="167"/>
      <c r="CN228" s="167"/>
      <c r="CO228" s="167"/>
      <c r="CP228" s="167"/>
    </row>
    <row r="229" spans="1:94" x14ac:dyDescent="0.2">
      <c r="A229" s="167"/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9" t="s">
        <v>277</v>
      </c>
      <c r="AV229" s="169" t="s">
        <v>278</v>
      </c>
      <c r="AW229" s="291">
        <v>2E-3</v>
      </c>
      <c r="AX229" s="221" t="e">
        <f t="shared" si="16"/>
        <v>#REF!</v>
      </c>
      <c r="AY229" s="167" t="s">
        <v>113</v>
      </c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241"/>
      <c r="BL229" s="167"/>
      <c r="BM229" s="167"/>
      <c r="BN229" s="167"/>
      <c r="BO229" s="167"/>
      <c r="BP229" s="167"/>
      <c r="BQ229" s="167"/>
      <c r="BR229" s="167"/>
      <c r="BS229" s="167"/>
      <c r="BT229" s="167"/>
      <c r="BU229" s="167"/>
      <c r="BV229" s="167"/>
      <c r="BW229" s="167"/>
      <c r="BX229" s="167"/>
      <c r="BY229" s="167"/>
      <c r="BZ229" s="167"/>
      <c r="CA229" s="167"/>
      <c r="CB229" s="167"/>
      <c r="CC229" s="167"/>
      <c r="CD229" s="167"/>
      <c r="CE229" s="167"/>
      <c r="CF229" s="167"/>
      <c r="CG229" s="167"/>
      <c r="CH229" s="167"/>
      <c r="CI229" s="167"/>
      <c r="CJ229" s="167"/>
      <c r="CK229" s="167"/>
      <c r="CL229" s="167"/>
      <c r="CM229" s="167"/>
      <c r="CN229" s="167"/>
      <c r="CO229" s="167"/>
      <c r="CP229" s="167"/>
    </row>
    <row r="230" spans="1:94" x14ac:dyDescent="0.2">
      <c r="A230" s="167"/>
      <c r="B230" s="167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203">
        <v>1</v>
      </c>
      <c r="AX230" s="300" t="e">
        <f>AV221*AX221</f>
        <v>#REF!</v>
      </c>
      <c r="AY230" s="167" t="s">
        <v>113</v>
      </c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241"/>
      <c r="BL230" s="167"/>
      <c r="BM230" s="167"/>
      <c r="BN230" s="167"/>
      <c r="BO230" s="167"/>
      <c r="BP230" s="167"/>
      <c r="BQ230" s="167"/>
      <c r="BR230" s="167"/>
      <c r="BS230" s="167"/>
      <c r="BT230" s="167"/>
      <c r="BU230" s="167"/>
      <c r="BV230" s="167"/>
      <c r="BW230" s="167"/>
      <c r="BX230" s="167"/>
      <c r="BY230" s="167"/>
      <c r="BZ230" s="167"/>
      <c r="CA230" s="167"/>
      <c r="CB230" s="167"/>
      <c r="CC230" s="167"/>
      <c r="CD230" s="167"/>
      <c r="CE230" s="167"/>
      <c r="CF230" s="167"/>
      <c r="CG230" s="167"/>
      <c r="CH230" s="167"/>
      <c r="CI230" s="167"/>
      <c r="CJ230" s="167"/>
      <c r="CK230" s="167"/>
      <c r="CL230" s="167"/>
      <c r="CM230" s="167"/>
      <c r="CN230" s="167"/>
      <c r="CO230" s="167"/>
      <c r="CP230" s="167"/>
    </row>
    <row r="231" spans="1:94" ht="13.5" thickBot="1" x14ac:dyDescent="0.25">
      <c r="A231" s="167"/>
      <c r="B231" s="167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241"/>
      <c r="BL231" s="167"/>
      <c r="BM231" s="167"/>
      <c r="BN231" s="167"/>
      <c r="BO231" s="167"/>
      <c r="BP231" s="167"/>
      <c r="BQ231" s="167"/>
      <c r="BR231" s="167"/>
      <c r="BS231" s="167"/>
      <c r="BT231" s="167"/>
      <c r="BU231" s="167"/>
      <c r="BV231" s="167"/>
      <c r="BW231" s="167"/>
      <c r="BX231" s="167"/>
      <c r="BY231" s="167"/>
      <c r="BZ231" s="167"/>
      <c r="CA231" s="167"/>
      <c r="CB231" s="167"/>
      <c r="CC231" s="167"/>
      <c r="CD231" s="167"/>
      <c r="CE231" s="167"/>
      <c r="CF231" s="167"/>
      <c r="CG231" s="167"/>
      <c r="CH231" s="167"/>
      <c r="CI231" s="167"/>
      <c r="CJ231" s="167"/>
      <c r="CK231" s="167"/>
      <c r="CL231" s="167"/>
      <c r="CM231" s="167"/>
      <c r="CN231" s="167"/>
      <c r="CO231" s="167"/>
      <c r="CP231" s="167"/>
    </row>
    <row r="232" spans="1:94" ht="13.5" thickBot="1" x14ac:dyDescent="0.25">
      <c r="A232" s="167"/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239" t="s">
        <v>122</v>
      </c>
      <c r="AV232" s="204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241"/>
      <c r="BL232" s="167"/>
      <c r="BM232" s="167"/>
      <c r="BN232" s="167"/>
      <c r="BO232" s="167"/>
      <c r="BP232" s="167"/>
      <c r="BQ232" s="167"/>
      <c r="BR232" s="167"/>
      <c r="BS232" s="167"/>
      <c r="BT232" s="167"/>
      <c r="BU232" s="167"/>
      <c r="BV232" s="167"/>
      <c r="BW232" s="167"/>
      <c r="BX232" s="167"/>
      <c r="BY232" s="167"/>
      <c r="BZ232" s="167"/>
      <c r="CA232" s="167"/>
      <c r="CB232" s="167"/>
      <c r="CC232" s="167"/>
      <c r="CD232" s="167"/>
      <c r="CE232" s="167"/>
      <c r="CF232" s="167"/>
      <c r="CG232" s="167"/>
      <c r="CH232" s="167"/>
      <c r="CI232" s="167"/>
      <c r="CJ232" s="167"/>
      <c r="CK232" s="167"/>
      <c r="CL232" s="167"/>
      <c r="CM232" s="167"/>
      <c r="CN232" s="167"/>
      <c r="CO232" s="167"/>
      <c r="CP232" s="167"/>
    </row>
    <row r="233" spans="1:94" ht="13.5" thickBot="1" x14ac:dyDescent="0.25">
      <c r="A233" s="167"/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87" t="s">
        <v>253</v>
      </c>
      <c r="AV233" s="188" t="e">
        <f>#REF!</f>
        <v>#REF!</v>
      </c>
      <c r="AW233" s="288" t="s">
        <v>113</v>
      </c>
      <c r="AX233" s="190">
        <v>1.6</v>
      </c>
      <c r="AY233" s="189" t="s">
        <v>58</v>
      </c>
      <c r="AZ233" s="191" t="s">
        <v>212</v>
      </c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241"/>
      <c r="BL233" s="167"/>
      <c r="BM233" s="167"/>
      <c r="BN233" s="167"/>
      <c r="BO233" s="167"/>
      <c r="BP233" s="167"/>
      <c r="BQ233" s="167"/>
      <c r="BR233" s="167"/>
      <c r="BS233" s="167"/>
      <c r="BT233" s="167"/>
      <c r="BU233" s="167"/>
      <c r="BV233" s="167"/>
      <c r="BW233" s="167"/>
      <c r="BX233" s="167"/>
      <c r="BY233" s="167"/>
      <c r="BZ233" s="167"/>
      <c r="CA233" s="167"/>
      <c r="CB233" s="167"/>
      <c r="CC233" s="167"/>
      <c r="CD233" s="167"/>
      <c r="CE233" s="167"/>
      <c r="CF233" s="167"/>
      <c r="CG233" s="167"/>
      <c r="CH233" s="167"/>
      <c r="CI233" s="167"/>
      <c r="CJ233" s="167"/>
      <c r="CK233" s="167"/>
      <c r="CL233" s="167"/>
      <c r="CM233" s="167"/>
      <c r="CN233" s="167"/>
      <c r="CO233" s="167"/>
      <c r="CP233" s="167"/>
    </row>
    <row r="234" spans="1:94" x14ac:dyDescent="0.2">
      <c r="A234" s="167"/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8" t="s">
        <v>62</v>
      </c>
      <c r="AV234" s="167"/>
      <c r="AW234" s="215">
        <f>AW238-SUM(AW235:AW237)</f>
        <v>0.7</v>
      </c>
      <c r="AX234" s="204" t="e">
        <f>AX238*AW234</f>
        <v>#REF!</v>
      </c>
      <c r="AY234" s="167" t="s">
        <v>113</v>
      </c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241"/>
      <c r="BL234" s="167"/>
      <c r="BM234" s="167"/>
      <c r="BN234" s="167"/>
      <c r="BO234" s="167"/>
      <c r="BP234" s="167"/>
      <c r="BQ234" s="167"/>
      <c r="BR234" s="167"/>
      <c r="BS234" s="167"/>
      <c r="BT234" s="167"/>
      <c r="BU234" s="167"/>
      <c r="BV234" s="167"/>
      <c r="BW234" s="167"/>
      <c r="BX234" s="167"/>
      <c r="BY234" s="167"/>
      <c r="BZ234" s="167"/>
      <c r="CA234" s="167"/>
      <c r="CB234" s="167"/>
      <c r="CC234" s="167"/>
      <c r="CD234" s="167"/>
      <c r="CE234" s="167"/>
      <c r="CF234" s="167"/>
      <c r="CG234" s="167"/>
      <c r="CH234" s="167"/>
      <c r="CI234" s="167"/>
      <c r="CJ234" s="167"/>
      <c r="CK234" s="167"/>
      <c r="CL234" s="167"/>
      <c r="CM234" s="167"/>
      <c r="CN234" s="167"/>
      <c r="CO234" s="167"/>
      <c r="CP234" s="167"/>
    </row>
    <row r="235" spans="1:94" x14ac:dyDescent="0.2">
      <c r="A235" s="167"/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8" t="s">
        <v>254</v>
      </c>
      <c r="AV235" s="168" t="s">
        <v>69</v>
      </c>
      <c r="AW235" s="279">
        <v>0.16</v>
      </c>
      <c r="AX235" s="204" t="e">
        <f>AX238*AW235</f>
        <v>#REF!</v>
      </c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241"/>
      <c r="BL235" s="167"/>
      <c r="BM235" s="167"/>
      <c r="BN235" s="167"/>
      <c r="BO235" s="167"/>
      <c r="BP235" s="167"/>
      <c r="BQ235" s="167"/>
      <c r="BR235" s="167"/>
      <c r="BS235" s="167"/>
      <c r="BT235" s="167"/>
      <c r="BU235" s="167"/>
      <c r="BV235" s="167"/>
      <c r="BW235" s="167"/>
      <c r="BX235" s="167"/>
      <c r="BY235" s="167"/>
      <c r="BZ235" s="167"/>
      <c r="CA235" s="167"/>
      <c r="CB235" s="167"/>
      <c r="CC235" s="167"/>
      <c r="CD235" s="167"/>
      <c r="CE235" s="167"/>
      <c r="CF235" s="167"/>
      <c r="CG235" s="167"/>
      <c r="CH235" s="167"/>
      <c r="CI235" s="167"/>
      <c r="CJ235" s="167"/>
      <c r="CK235" s="167"/>
      <c r="CL235" s="167"/>
      <c r="CM235" s="167"/>
      <c r="CN235" s="167"/>
      <c r="CO235" s="167"/>
      <c r="CP235" s="167"/>
    </row>
    <row r="236" spans="1:94" x14ac:dyDescent="0.2">
      <c r="A236" s="167"/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8" t="s">
        <v>241</v>
      </c>
      <c r="AV236" s="168" t="s">
        <v>25</v>
      </c>
      <c r="AW236" s="279">
        <v>0.13</v>
      </c>
      <c r="AX236" s="204" t="e">
        <f>AX238*AW236</f>
        <v>#REF!</v>
      </c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241"/>
      <c r="BL236" s="167"/>
      <c r="BM236" s="167"/>
      <c r="BN236" s="167"/>
      <c r="BO236" s="167"/>
      <c r="BP236" s="167"/>
      <c r="BQ236" s="167"/>
      <c r="BR236" s="167"/>
      <c r="BS236" s="167"/>
      <c r="BT236" s="167"/>
      <c r="BU236" s="167"/>
      <c r="BV236" s="167"/>
      <c r="BW236" s="167"/>
      <c r="BX236" s="167"/>
      <c r="BY236" s="167"/>
      <c r="BZ236" s="167"/>
      <c r="CA236" s="167"/>
      <c r="CB236" s="167"/>
      <c r="CC236" s="167"/>
      <c r="CD236" s="167"/>
      <c r="CE236" s="167"/>
      <c r="CF236" s="167"/>
      <c r="CG236" s="167"/>
      <c r="CH236" s="167"/>
      <c r="CI236" s="167"/>
      <c r="CJ236" s="167"/>
      <c r="CK236" s="167"/>
      <c r="CL236" s="167"/>
      <c r="CM236" s="167"/>
      <c r="CN236" s="167"/>
      <c r="CO236" s="167"/>
      <c r="CP236" s="167"/>
    </row>
    <row r="237" spans="1:94" x14ac:dyDescent="0.2">
      <c r="A237" s="167"/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8" t="s">
        <v>255</v>
      </c>
      <c r="AV237" s="167" t="s">
        <v>256</v>
      </c>
      <c r="AW237" s="218">
        <v>0.01</v>
      </c>
      <c r="AX237" s="221" t="e">
        <f>AX238*AW237</f>
        <v>#REF!</v>
      </c>
      <c r="AY237" s="167" t="s">
        <v>113</v>
      </c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241"/>
      <c r="BL237" s="167"/>
      <c r="BM237" s="167"/>
      <c r="BN237" s="167"/>
      <c r="BO237" s="167"/>
      <c r="BP237" s="167"/>
      <c r="BQ237" s="167"/>
      <c r="BR237" s="167"/>
      <c r="BS237" s="167"/>
      <c r="BT237" s="167"/>
      <c r="BU237" s="167"/>
      <c r="BV237" s="167"/>
      <c r="BW237" s="167"/>
      <c r="BX237" s="167"/>
      <c r="BY237" s="167"/>
      <c r="BZ237" s="167"/>
      <c r="CA237" s="167"/>
      <c r="CB237" s="167"/>
      <c r="CC237" s="167"/>
      <c r="CD237" s="167"/>
      <c r="CE237" s="167"/>
      <c r="CF237" s="167"/>
      <c r="CG237" s="167"/>
      <c r="CH237" s="167"/>
      <c r="CI237" s="167"/>
      <c r="CJ237" s="167"/>
      <c r="CK237" s="167"/>
      <c r="CL237" s="167"/>
      <c r="CM237" s="167"/>
      <c r="CN237" s="167"/>
      <c r="CO237" s="167"/>
      <c r="CP237" s="167"/>
    </row>
    <row r="238" spans="1:94" x14ac:dyDescent="0.2">
      <c r="A238" s="167"/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203">
        <v>1</v>
      </c>
      <c r="AX238" s="300" t="e">
        <f>AV233</f>
        <v>#REF!</v>
      </c>
      <c r="AY238" s="167" t="s">
        <v>113</v>
      </c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241"/>
      <c r="BL238" s="167"/>
      <c r="BM238" s="167"/>
      <c r="BN238" s="167"/>
      <c r="BO238" s="167"/>
      <c r="BP238" s="167"/>
      <c r="BQ238" s="167"/>
      <c r="BR238" s="167"/>
      <c r="BS238" s="167"/>
      <c r="BT238" s="167"/>
      <c r="BU238" s="167"/>
      <c r="BV238" s="167"/>
      <c r="BW238" s="167"/>
      <c r="BX238" s="167"/>
      <c r="BY238" s="167"/>
      <c r="BZ238" s="167"/>
      <c r="CA238" s="167"/>
      <c r="CB238" s="167"/>
      <c r="CC238" s="167"/>
      <c r="CD238" s="167"/>
      <c r="CE238" s="167"/>
      <c r="CF238" s="167"/>
      <c r="CG238" s="167"/>
      <c r="CH238" s="167"/>
      <c r="CI238" s="167"/>
      <c r="CJ238" s="167"/>
      <c r="CK238" s="167"/>
      <c r="CL238" s="167"/>
      <c r="CM238" s="167"/>
      <c r="CN238" s="167"/>
      <c r="CO238" s="167"/>
      <c r="CP238" s="167"/>
    </row>
    <row r="239" spans="1:94" ht="13.5" thickBot="1" x14ac:dyDescent="0.25">
      <c r="A239" s="167"/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203"/>
      <c r="AX239" s="300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241"/>
      <c r="BL239" s="167"/>
      <c r="BM239" s="167"/>
      <c r="BN239" s="167"/>
      <c r="BO239" s="167"/>
      <c r="BP239" s="167"/>
      <c r="BQ239" s="167"/>
      <c r="BR239" s="167"/>
      <c r="BS239" s="167"/>
      <c r="BT239" s="167"/>
      <c r="BU239" s="167"/>
      <c r="BV239" s="167"/>
      <c r="BW239" s="167"/>
      <c r="BX239" s="167"/>
      <c r="BY239" s="167"/>
      <c r="BZ239" s="167"/>
      <c r="CA239" s="167"/>
      <c r="CB239" s="167"/>
      <c r="CC239" s="167"/>
      <c r="CD239" s="167"/>
      <c r="CE239" s="167"/>
      <c r="CF239" s="167"/>
      <c r="CG239" s="167"/>
      <c r="CH239" s="167"/>
      <c r="CI239" s="167"/>
      <c r="CJ239" s="167"/>
      <c r="CK239" s="167"/>
      <c r="CL239" s="167"/>
      <c r="CM239" s="167"/>
      <c r="CN239" s="167"/>
      <c r="CO239" s="167"/>
      <c r="CP239" s="167"/>
    </row>
    <row r="240" spans="1:94" ht="13.5" thickBot="1" x14ac:dyDescent="0.25">
      <c r="A240" s="167"/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207" t="s">
        <v>123</v>
      </c>
      <c r="AV240" s="167"/>
      <c r="AW240" s="203"/>
      <c r="AX240" s="300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241"/>
      <c r="BL240" s="167"/>
      <c r="BM240" s="167"/>
      <c r="BN240" s="167"/>
      <c r="BO240" s="167"/>
      <c r="BP240" s="167"/>
      <c r="BQ240" s="167"/>
      <c r="BR240" s="167"/>
      <c r="BS240" s="167"/>
      <c r="BT240" s="167"/>
      <c r="BU240" s="167"/>
      <c r="BV240" s="167"/>
      <c r="BW240" s="167"/>
      <c r="BX240" s="167"/>
      <c r="BY240" s="167"/>
      <c r="BZ240" s="167"/>
      <c r="CA240" s="167"/>
      <c r="CB240" s="167"/>
      <c r="CC240" s="167"/>
      <c r="CD240" s="167"/>
      <c r="CE240" s="167"/>
      <c r="CF240" s="167"/>
      <c r="CG240" s="167"/>
      <c r="CH240" s="167"/>
      <c r="CI240" s="167"/>
      <c r="CJ240" s="167"/>
      <c r="CK240" s="167"/>
      <c r="CL240" s="167"/>
      <c r="CM240" s="167"/>
      <c r="CN240" s="167"/>
      <c r="CO240" s="167"/>
      <c r="CP240" s="167"/>
    </row>
    <row r="241" spans="1:94" ht="13.5" thickBot="1" x14ac:dyDescent="0.25">
      <c r="A241" s="167"/>
      <c r="B241" s="167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87" t="s">
        <v>152</v>
      </c>
      <c r="AV241" s="188" t="e">
        <f>#REF!</f>
        <v>#REF!</v>
      </c>
      <c r="AW241" s="288" t="s">
        <v>57</v>
      </c>
      <c r="AX241" s="190">
        <v>0.93300000000000005</v>
      </c>
      <c r="AY241" s="189" t="s">
        <v>58</v>
      </c>
      <c r="AZ241" s="191" t="s">
        <v>212</v>
      </c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241"/>
      <c r="BL241" s="167"/>
      <c r="BM241" s="167"/>
      <c r="BN241" s="167"/>
      <c r="BO241" s="167"/>
      <c r="BP241" s="167"/>
      <c r="BQ241" s="167"/>
      <c r="BR241" s="167"/>
      <c r="BS241" s="167"/>
      <c r="BT241" s="167"/>
      <c r="BU241" s="167"/>
      <c r="BV241" s="167"/>
      <c r="BW241" s="167"/>
      <c r="BX241" s="167"/>
      <c r="BY241" s="167"/>
      <c r="BZ241" s="167"/>
      <c r="CA241" s="167"/>
      <c r="CB241" s="167"/>
      <c r="CC241" s="167"/>
      <c r="CD241" s="167"/>
      <c r="CE241" s="167"/>
      <c r="CF241" s="167"/>
      <c r="CG241" s="167"/>
      <c r="CH241" s="167"/>
      <c r="CI241" s="167"/>
      <c r="CJ241" s="167"/>
      <c r="CK241" s="167"/>
      <c r="CL241" s="167"/>
      <c r="CM241" s="167"/>
      <c r="CN241" s="167"/>
      <c r="CO241" s="167"/>
      <c r="CP241" s="167"/>
    </row>
    <row r="242" spans="1:94" x14ac:dyDescent="0.2">
      <c r="A242" s="167"/>
      <c r="B242" s="167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8" t="s">
        <v>62</v>
      </c>
      <c r="AV242" s="167"/>
      <c r="AW242" s="215">
        <f>AW250-SUM(AW243:AW249)</f>
        <v>0.34999999999999987</v>
      </c>
      <c r="AX242" s="209" t="e">
        <f>AX250-SUM(AX243:AX249)</f>
        <v>#REF!</v>
      </c>
      <c r="AY242" s="167" t="s">
        <v>113</v>
      </c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241"/>
      <c r="BL242" s="167"/>
      <c r="BM242" s="167"/>
      <c r="BN242" s="167"/>
      <c r="BO242" s="167"/>
      <c r="BP242" s="167"/>
      <c r="BQ242" s="167"/>
      <c r="BR242" s="167"/>
      <c r="BS242" s="167"/>
      <c r="BT242" s="167"/>
      <c r="BU242" s="167"/>
      <c r="BV242" s="167"/>
      <c r="BW242" s="167"/>
      <c r="BX242" s="167"/>
      <c r="BY242" s="167"/>
      <c r="BZ242" s="167"/>
      <c r="CA242" s="167"/>
      <c r="CB242" s="167"/>
      <c r="CC242" s="167"/>
      <c r="CD242" s="167"/>
      <c r="CE242" s="167"/>
      <c r="CF242" s="167"/>
      <c r="CG242" s="167"/>
      <c r="CH242" s="167"/>
      <c r="CI242" s="167"/>
      <c r="CJ242" s="167"/>
      <c r="CK242" s="167"/>
      <c r="CL242" s="167"/>
      <c r="CM242" s="167"/>
      <c r="CN242" s="167"/>
      <c r="CO242" s="167"/>
      <c r="CP242" s="167"/>
    </row>
    <row r="243" spans="1:94" x14ac:dyDescent="0.2">
      <c r="A243" s="167"/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8" t="s">
        <v>76</v>
      </c>
      <c r="AV243" s="167" t="s">
        <v>31</v>
      </c>
      <c r="AW243" s="215">
        <v>0.4</v>
      </c>
      <c r="AX243" s="209" t="e">
        <f t="shared" ref="AX243:AX249" si="17">AW243*AX$250</f>
        <v>#REF!</v>
      </c>
      <c r="AY243" s="167" t="s">
        <v>113</v>
      </c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241"/>
      <c r="BL243" s="167"/>
      <c r="BM243" s="167"/>
      <c r="BN243" s="167"/>
      <c r="BO243" s="167"/>
      <c r="BP243" s="167"/>
      <c r="BQ243" s="167"/>
      <c r="BR243" s="167"/>
      <c r="BS243" s="167"/>
      <c r="BT243" s="167"/>
      <c r="BU243" s="167"/>
      <c r="BV243" s="167"/>
      <c r="BW243" s="167"/>
      <c r="BX243" s="167"/>
      <c r="BY243" s="167"/>
      <c r="BZ243" s="167"/>
      <c r="CA243" s="167"/>
      <c r="CB243" s="167"/>
      <c r="CC243" s="167"/>
      <c r="CD243" s="167"/>
      <c r="CE243" s="167"/>
      <c r="CF243" s="167"/>
      <c r="CG243" s="167"/>
      <c r="CH243" s="167"/>
      <c r="CI243" s="167"/>
      <c r="CJ243" s="167"/>
      <c r="CK243" s="167"/>
      <c r="CL243" s="167"/>
      <c r="CM243" s="167"/>
      <c r="CN243" s="167"/>
      <c r="CO243" s="167"/>
      <c r="CP243" s="167"/>
    </row>
    <row r="244" spans="1:94" x14ac:dyDescent="0.2">
      <c r="A244" s="167"/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8" t="s">
        <v>74</v>
      </c>
      <c r="AV244" s="167" t="s">
        <v>29</v>
      </c>
      <c r="AW244" s="215">
        <v>0.01</v>
      </c>
      <c r="AX244" s="204" t="e">
        <f t="shared" si="17"/>
        <v>#REF!</v>
      </c>
      <c r="AY244" s="167" t="s">
        <v>113</v>
      </c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241"/>
      <c r="BL244" s="167"/>
      <c r="BM244" s="167"/>
      <c r="BN244" s="167"/>
      <c r="BO244" s="167"/>
      <c r="BP244" s="167"/>
      <c r="BQ244" s="167"/>
      <c r="BR244" s="167"/>
      <c r="BS244" s="167"/>
      <c r="BT244" s="167"/>
      <c r="BU244" s="167"/>
      <c r="BV244" s="167"/>
      <c r="BW244" s="167"/>
      <c r="BX244" s="167"/>
      <c r="BY244" s="167"/>
      <c r="BZ244" s="167"/>
      <c r="CA244" s="167"/>
      <c r="CB244" s="167"/>
      <c r="CC244" s="167"/>
      <c r="CD244" s="167"/>
      <c r="CE244" s="167"/>
      <c r="CF244" s="167"/>
      <c r="CG244" s="167"/>
      <c r="CH244" s="167"/>
      <c r="CI244" s="167"/>
      <c r="CJ244" s="167"/>
      <c r="CK244" s="167"/>
      <c r="CL244" s="167"/>
      <c r="CM244" s="167"/>
      <c r="CN244" s="167"/>
      <c r="CO244" s="167"/>
      <c r="CP244" s="167"/>
    </row>
    <row r="245" spans="1:94" x14ac:dyDescent="0.2">
      <c r="A245" s="167"/>
      <c r="B245" s="167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8" t="s">
        <v>42</v>
      </c>
      <c r="AV245" s="167" t="s">
        <v>21</v>
      </c>
      <c r="AW245" s="215">
        <v>0.01</v>
      </c>
      <c r="AX245" s="204" t="e">
        <f t="shared" si="17"/>
        <v>#REF!</v>
      </c>
      <c r="AY245" s="167" t="s">
        <v>113</v>
      </c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241"/>
      <c r="BL245" s="167"/>
      <c r="BM245" s="167"/>
      <c r="BN245" s="167"/>
      <c r="BO245" s="167"/>
      <c r="BP245" s="167"/>
      <c r="BQ245" s="167"/>
      <c r="BR245" s="167"/>
      <c r="BS245" s="167"/>
      <c r="BT245" s="167"/>
      <c r="BU245" s="167"/>
      <c r="BV245" s="167"/>
      <c r="BW245" s="167"/>
      <c r="BX245" s="167"/>
      <c r="BY245" s="167"/>
      <c r="BZ245" s="167"/>
      <c r="CA245" s="167"/>
      <c r="CB245" s="167"/>
      <c r="CC245" s="167"/>
      <c r="CD245" s="167"/>
      <c r="CE245" s="167"/>
      <c r="CF245" s="167"/>
      <c r="CG245" s="167"/>
      <c r="CH245" s="167"/>
      <c r="CI245" s="167"/>
      <c r="CJ245" s="167"/>
      <c r="CK245" s="167"/>
      <c r="CL245" s="167"/>
      <c r="CM245" s="167"/>
      <c r="CN245" s="167"/>
      <c r="CO245" s="167"/>
      <c r="CP245" s="167"/>
    </row>
    <row r="246" spans="1:94" x14ac:dyDescent="0.2">
      <c r="A246" s="167"/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8" t="s">
        <v>54</v>
      </c>
      <c r="AV246" s="168" t="s">
        <v>34</v>
      </c>
      <c r="AW246" s="215">
        <v>0.2</v>
      </c>
      <c r="AX246" s="204" t="e">
        <f t="shared" si="17"/>
        <v>#REF!</v>
      </c>
      <c r="AY246" s="167" t="s">
        <v>113</v>
      </c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241"/>
      <c r="BL246" s="167"/>
      <c r="BM246" s="167"/>
      <c r="BN246" s="167"/>
      <c r="BO246" s="167"/>
      <c r="BP246" s="167"/>
      <c r="BQ246" s="167"/>
      <c r="BR246" s="167"/>
      <c r="BS246" s="167"/>
      <c r="BT246" s="167"/>
      <c r="BU246" s="167"/>
      <c r="BV246" s="167"/>
      <c r="BW246" s="167"/>
      <c r="BX246" s="167"/>
      <c r="BY246" s="167"/>
      <c r="BZ246" s="167"/>
      <c r="CA246" s="167"/>
      <c r="CB246" s="167"/>
      <c r="CC246" s="167"/>
      <c r="CD246" s="167"/>
      <c r="CE246" s="167"/>
      <c r="CF246" s="167"/>
      <c r="CG246" s="167"/>
      <c r="CH246" s="167"/>
      <c r="CI246" s="167"/>
      <c r="CJ246" s="167"/>
      <c r="CK246" s="167"/>
      <c r="CL246" s="167"/>
      <c r="CM246" s="167"/>
      <c r="CN246" s="167"/>
      <c r="CO246" s="167"/>
      <c r="CP246" s="167"/>
    </row>
    <row r="247" spans="1:94" x14ac:dyDescent="0.2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8" t="s">
        <v>257</v>
      </c>
      <c r="AV247" s="168" t="s">
        <v>22</v>
      </c>
      <c r="AW247" s="215">
        <v>5.0000000000000001E-3</v>
      </c>
      <c r="AX247" s="204" t="e">
        <f t="shared" si="17"/>
        <v>#REF!</v>
      </c>
      <c r="AY247" s="167" t="s">
        <v>113</v>
      </c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241"/>
      <c r="BL247" s="167"/>
      <c r="BM247" s="167"/>
      <c r="BN247" s="167"/>
      <c r="BO247" s="167"/>
      <c r="BP247" s="167"/>
      <c r="BQ247" s="167"/>
      <c r="BR247" s="167"/>
      <c r="BS247" s="167"/>
      <c r="BT247" s="167"/>
      <c r="BU247" s="167"/>
      <c r="BV247" s="167"/>
      <c r="BW247" s="167"/>
      <c r="BX247" s="167"/>
      <c r="BY247" s="167"/>
      <c r="BZ247" s="167"/>
      <c r="CA247" s="167"/>
      <c r="CB247" s="167"/>
      <c r="CC247" s="167"/>
      <c r="CD247" s="167"/>
      <c r="CE247" s="167"/>
      <c r="CF247" s="167"/>
      <c r="CG247" s="167"/>
      <c r="CH247" s="167"/>
      <c r="CI247" s="167"/>
      <c r="CJ247" s="167"/>
      <c r="CK247" s="167"/>
      <c r="CL247" s="167"/>
      <c r="CM247" s="167"/>
      <c r="CN247" s="167"/>
      <c r="CO247" s="167"/>
      <c r="CP247" s="167"/>
    </row>
    <row r="248" spans="1:94" x14ac:dyDescent="0.2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8" t="s">
        <v>241</v>
      </c>
      <c r="AV248" s="168" t="s">
        <v>25</v>
      </c>
      <c r="AW248" s="215">
        <v>5.0000000000000001E-3</v>
      </c>
      <c r="AX248" s="204" t="e">
        <f t="shared" si="17"/>
        <v>#REF!</v>
      </c>
      <c r="AY248" s="167" t="s">
        <v>113</v>
      </c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241"/>
      <c r="BL248" s="167"/>
      <c r="BM248" s="167"/>
      <c r="BN248" s="167"/>
      <c r="BO248" s="167"/>
      <c r="BP248" s="167"/>
      <c r="BQ248" s="167"/>
      <c r="BR248" s="167"/>
      <c r="BS248" s="167"/>
      <c r="BT248" s="167"/>
      <c r="BU248" s="167"/>
      <c r="BV248" s="167"/>
      <c r="BW248" s="167"/>
      <c r="BX248" s="167"/>
      <c r="BY248" s="167"/>
      <c r="BZ248" s="167"/>
      <c r="CA248" s="167"/>
      <c r="CB248" s="167"/>
      <c r="CC248" s="167"/>
      <c r="CD248" s="167"/>
      <c r="CE248" s="167"/>
      <c r="CF248" s="167"/>
      <c r="CG248" s="167"/>
      <c r="CH248" s="167"/>
      <c r="CI248" s="167"/>
      <c r="CJ248" s="167"/>
      <c r="CK248" s="167"/>
      <c r="CL248" s="167"/>
      <c r="CM248" s="167"/>
      <c r="CN248" s="167"/>
      <c r="CO248" s="167"/>
      <c r="CP248" s="167"/>
    </row>
    <row r="249" spans="1:94" x14ac:dyDescent="0.2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8" t="s">
        <v>254</v>
      </c>
      <c r="AV249" s="168" t="s">
        <v>69</v>
      </c>
      <c r="AW249" s="218">
        <v>0.02</v>
      </c>
      <c r="AX249" s="221" t="e">
        <f t="shared" si="17"/>
        <v>#REF!</v>
      </c>
      <c r="AY249" s="167" t="s">
        <v>113</v>
      </c>
      <c r="AZ249" s="167"/>
      <c r="BA249" s="167"/>
      <c r="BB249" s="167"/>
      <c r="BC249" s="167"/>
      <c r="BD249" s="167"/>
      <c r="BE249" s="167"/>
      <c r="BF249" s="167"/>
      <c r="BG249" s="167"/>
      <c r="BH249" s="167"/>
      <c r="BI249" s="167"/>
      <c r="BJ249" s="167"/>
      <c r="BK249" s="241"/>
      <c r="BL249" s="167"/>
      <c r="BM249" s="167"/>
      <c r="BN249" s="167"/>
      <c r="BO249" s="167"/>
      <c r="BP249" s="167"/>
      <c r="BQ249" s="167"/>
      <c r="BR249" s="167"/>
      <c r="BS249" s="167"/>
      <c r="BT249" s="167"/>
      <c r="BU249" s="167"/>
      <c r="BV249" s="167"/>
      <c r="BW249" s="167"/>
      <c r="BX249" s="167"/>
      <c r="BY249" s="167"/>
      <c r="BZ249" s="167"/>
      <c r="CA249" s="167"/>
      <c r="CB249" s="167"/>
      <c r="CC249" s="167"/>
      <c r="CD249" s="167"/>
      <c r="CE249" s="167"/>
      <c r="CF249" s="167"/>
      <c r="CG249" s="167"/>
      <c r="CH249" s="167"/>
      <c r="CI249" s="167"/>
      <c r="CJ249" s="167"/>
      <c r="CK249" s="167"/>
      <c r="CL249" s="167"/>
      <c r="CM249" s="167"/>
      <c r="CN249" s="167"/>
      <c r="CO249" s="167"/>
      <c r="CP249" s="167"/>
    </row>
    <row r="250" spans="1:94" x14ac:dyDescent="0.2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203">
        <v>1</v>
      </c>
      <c r="AX250" s="300" t="e">
        <f>AV241*AX241</f>
        <v>#REF!</v>
      </c>
      <c r="AY250" s="167" t="s">
        <v>113</v>
      </c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241"/>
      <c r="BL250" s="167"/>
      <c r="BM250" s="167"/>
      <c r="BN250" s="167"/>
      <c r="BO250" s="167"/>
      <c r="BP250" s="167"/>
      <c r="BQ250" s="167"/>
      <c r="BR250" s="167"/>
      <c r="BS250" s="167"/>
      <c r="BT250" s="167"/>
      <c r="BU250" s="167"/>
      <c r="BV250" s="167"/>
      <c r="BW250" s="167"/>
      <c r="BX250" s="167"/>
      <c r="BY250" s="167"/>
      <c r="BZ250" s="167"/>
      <c r="CA250" s="167"/>
      <c r="CB250" s="167"/>
      <c r="CC250" s="167"/>
      <c r="CD250" s="167"/>
      <c r="CE250" s="167"/>
      <c r="CF250" s="167"/>
      <c r="CG250" s="167"/>
      <c r="CH250" s="167"/>
      <c r="CI250" s="167"/>
      <c r="CJ250" s="167"/>
      <c r="CK250" s="167"/>
      <c r="CL250" s="167"/>
      <c r="CM250" s="167"/>
      <c r="CN250" s="167"/>
      <c r="CO250" s="167"/>
      <c r="CP250" s="167"/>
    </row>
    <row r="251" spans="1:94" ht="13.5" customHeight="1" thickBot="1" x14ac:dyDescent="0.25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241"/>
      <c r="BL251" s="167"/>
      <c r="BM251" s="167"/>
      <c r="BN251" s="167"/>
      <c r="BO251" s="167"/>
      <c r="BP251" s="167"/>
      <c r="BQ251" s="167"/>
      <c r="BR251" s="167"/>
      <c r="BS251" s="167"/>
      <c r="BT251" s="167"/>
      <c r="BU251" s="167"/>
      <c r="BV251" s="167"/>
      <c r="BW251" s="167"/>
      <c r="BX251" s="167"/>
      <c r="BY251" s="167"/>
      <c r="BZ251" s="167"/>
      <c r="CA251" s="167"/>
      <c r="CB251" s="167"/>
      <c r="CC251" s="167"/>
      <c r="CD251" s="167"/>
      <c r="CE251" s="167"/>
      <c r="CF251" s="167"/>
      <c r="CG251" s="167"/>
      <c r="CH251" s="167"/>
      <c r="CI251" s="167"/>
      <c r="CJ251" s="167"/>
      <c r="CK251" s="167"/>
      <c r="CL251" s="167"/>
      <c r="CM251" s="167"/>
      <c r="CN251" s="167"/>
      <c r="CO251" s="167"/>
      <c r="CP251" s="167"/>
    </row>
    <row r="252" spans="1:94" ht="39" thickBot="1" x14ac:dyDescent="0.25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207" t="s">
        <v>476</v>
      </c>
      <c r="AV252" s="302" t="s">
        <v>477</v>
      </c>
      <c r="AW252" s="303" t="s">
        <v>478</v>
      </c>
      <c r="AX252" s="302" t="s">
        <v>479</v>
      </c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241"/>
      <c r="BL252" s="167"/>
      <c r="BM252" s="167"/>
      <c r="BN252" s="167"/>
      <c r="BO252" s="167"/>
      <c r="BP252" s="167"/>
      <c r="BQ252" s="167"/>
      <c r="BR252" s="167"/>
      <c r="BS252" s="167"/>
      <c r="BT252" s="167"/>
      <c r="BU252" s="167"/>
      <c r="BV252" s="167"/>
      <c r="BW252" s="167"/>
      <c r="BX252" s="167"/>
      <c r="BY252" s="167"/>
      <c r="BZ252" s="167"/>
      <c r="CA252" s="167"/>
      <c r="CB252" s="167"/>
      <c r="CC252" s="167"/>
      <c r="CD252" s="167"/>
      <c r="CE252" s="167"/>
      <c r="CF252" s="167"/>
      <c r="CG252" s="167"/>
      <c r="CH252" s="167"/>
      <c r="CI252" s="167"/>
      <c r="CJ252" s="167"/>
      <c r="CK252" s="167"/>
      <c r="CL252" s="167"/>
      <c r="CM252" s="167"/>
      <c r="CN252" s="167"/>
      <c r="CO252" s="167"/>
      <c r="CP252" s="167"/>
    </row>
    <row r="253" spans="1:94" ht="15" customHeight="1" thickBot="1" x14ac:dyDescent="0.25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228" t="s">
        <v>480</v>
      </c>
      <c r="AV253" s="304"/>
      <c r="AW253" s="304"/>
      <c r="AX253" s="304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241"/>
      <c r="BL253" s="167"/>
      <c r="BM253" s="167"/>
      <c r="BN253" s="167"/>
      <c r="BO253" s="167"/>
      <c r="BP253" s="167"/>
      <c r="BQ253" s="167"/>
      <c r="BR253" s="167"/>
      <c r="BS253" s="167"/>
      <c r="BT253" s="167"/>
      <c r="BU253" s="167"/>
      <c r="BV253" s="167"/>
      <c r="BW253" s="167"/>
      <c r="BX253" s="167"/>
      <c r="BY253" s="167"/>
      <c r="BZ253" s="167"/>
      <c r="CA253" s="167"/>
      <c r="CB253" s="167"/>
      <c r="CC253" s="167"/>
      <c r="CD253" s="167"/>
      <c r="CE253" s="167"/>
      <c r="CF253" s="167"/>
      <c r="CG253" s="167"/>
      <c r="CH253" s="167"/>
      <c r="CI253" s="167"/>
      <c r="CJ253" s="167"/>
      <c r="CK253" s="167"/>
      <c r="CL253" s="167"/>
      <c r="CM253" s="167"/>
      <c r="CN253" s="167"/>
      <c r="CO253" s="167"/>
      <c r="CP253" s="167"/>
    </row>
    <row r="254" spans="1:94" x14ac:dyDescent="0.2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248" t="s">
        <v>92</v>
      </c>
      <c r="AV254" s="305" t="e">
        <f>#REF!</f>
        <v>#REF!</v>
      </c>
      <c r="AW254" s="306">
        <v>0.95</v>
      </c>
      <c r="AX254" s="305" t="e">
        <f>AV254*(1-AW254)</f>
        <v>#REF!</v>
      </c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241"/>
      <c r="BL254" s="167"/>
      <c r="BM254" s="167"/>
      <c r="BN254" s="167"/>
      <c r="BO254" s="167"/>
      <c r="BP254" s="167"/>
      <c r="BQ254" s="167"/>
      <c r="BR254" s="167"/>
      <c r="BS254" s="167"/>
      <c r="BT254" s="167"/>
      <c r="BU254" s="167"/>
      <c r="BV254" s="167"/>
      <c r="BW254" s="167"/>
      <c r="BX254" s="167"/>
      <c r="BY254" s="167"/>
      <c r="BZ254" s="167"/>
      <c r="CA254" s="167"/>
      <c r="CB254" s="167"/>
      <c r="CC254" s="167"/>
      <c r="CD254" s="167"/>
      <c r="CE254" s="167"/>
      <c r="CF254" s="167"/>
      <c r="CG254" s="167"/>
      <c r="CH254" s="167"/>
      <c r="CI254" s="167"/>
      <c r="CJ254" s="167"/>
      <c r="CK254" s="167"/>
      <c r="CL254" s="167"/>
      <c r="CM254" s="167"/>
      <c r="CN254" s="167"/>
      <c r="CO254" s="167"/>
      <c r="CP254" s="167"/>
    </row>
    <row r="255" spans="1:94" x14ac:dyDescent="0.2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248" t="s">
        <v>481</v>
      </c>
      <c r="AV255" s="305" t="e">
        <f>#REF!</f>
        <v>#REF!</v>
      </c>
      <c r="AW255" s="306">
        <v>0.95</v>
      </c>
      <c r="AX255" s="305" t="e">
        <f t="shared" ref="AX255:AX287" si="18">AV255*(1-AW255)</f>
        <v>#REF!</v>
      </c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241"/>
      <c r="BL255" s="167"/>
      <c r="BM255" s="167"/>
      <c r="BN255" s="167"/>
      <c r="BO255" s="167"/>
      <c r="BP255" s="167"/>
      <c r="BQ255" s="167"/>
      <c r="BR255" s="167"/>
      <c r="BS255" s="167"/>
      <c r="BT255" s="167"/>
      <c r="BU255" s="167"/>
      <c r="BV255" s="167"/>
      <c r="BW255" s="167"/>
      <c r="BX255" s="167"/>
      <c r="BY255" s="167"/>
      <c r="BZ255" s="167"/>
      <c r="CA255" s="167"/>
      <c r="CB255" s="167"/>
      <c r="CC255" s="167"/>
      <c r="CD255" s="167"/>
      <c r="CE255" s="167"/>
      <c r="CF255" s="167"/>
      <c r="CG255" s="167"/>
      <c r="CH255" s="167"/>
      <c r="CI255" s="167"/>
      <c r="CJ255" s="167"/>
      <c r="CK255" s="167"/>
      <c r="CL255" s="167"/>
      <c r="CM255" s="167"/>
      <c r="CN255" s="167"/>
      <c r="CO255" s="167"/>
      <c r="CP255" s="167"/>
    </row>
    <row r="256" spans="1:94" x14ac:dyDescent="0.2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77" t="s">
        <v>136</v>
      </c>
      <c r="AV256" s="229" t="e">
        <f>#REF!</f>
        <v>#REF!</v>
      </c>
      <c r="AW256" s="307">
        <v>0.95</v>
      </c>
      <c r="AX256" s="305" t="e">
        <f t="shared" si="18"/>
        <v>#REF!</v>
      </c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241"/>
      <c r="BL256" s="167"/>
      <c r="BM256" s="167"/>
      <c r="BN256" s="167"/>
      <c r="BO256" s="167"/>
      <c r="BP256" s="167"/>
      <c r="BQ256" s="167"/>
      <c r="BR256" s="167"/>
      <c r="BS256" s="167"/>
      <c r="BT256" s="167"/>
      <c r="BU256" s="167"/>
      <c r="BV256" s="167"/>
      <c r="BW256" s="167"/>
      <c r="BX256" s="167"/>
      <c r="BY256" s="167"/>
      <c r="BZ256" s="167"/>
      <c r="CA256" s="167"/>
      <c r="CB256" s="167"/>
      <c r="CC256" s="167"/>
      <c r="CD256" s="167"/>
      <c r="CE256" s="167"/>
      <c r="CF256" s="167"/>
      <c r="CG256" s="167"/>
      <c r="CH256" s="167"/>
      <c r="CI256" s="167"/>
      <c r="CJ256" s="167"/>
      <c r="CK256" s="167"/>
      <c r="CL256" s="167"/>
      <c r="CM256" s="167"/>
      <c r="CN256" s="167"/>
      <c r="CO256" s="167"/>
      <c r="CP256" s="167"/>
    </row>
    <row r="257" spans="1:94" x14ac:dyDescent="0.2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248" t="s">
        <v>137</v>
      </c>
      <c r="AV257" s="305" t="e">
        <f>#REF!</f>
        <v>#REF!</v>
      </c>
      <c r="AW257" s="306">
        <v>0.95</v>
      </c>
      <c r="AX257" s="305" t="e">
        <f t="shared" si="18"/>
        <v>#REF!</v>
      </c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241"/>
      <c r="BL257" s="167"/>
      <c r="BM257" s="167"/>
      <c r="BN257" s="167"/>
      <c r="BO257" s="167"/>
      <c r="BP257" s="167"/>
      <c r="BQ257" s="167"/>
      <c r="BR257" s="167"/>
      <c r="BS257" s="167"/>
      <c r="BT257" s="167"/>
      <c r="BU257" s="167"/>
      <c r="BV257" s="167"/>
      <c r="BW257" s="167"/>
      <c r="BX257" s="167"/>
      <c r="BY257" s="167"/>
      <c r="BZ257" s="167"/>
      <c r="CA257" s="167"/>
      <c r="CB257" s="167"/>
      <c r="CC257" s="167"/>
      <c r="CD257" s="167"/>
      <c r="CE257" s="167"/>
      <c r="CF257" s="167"/>
      <c r="CG257" s="167"/>
      <c r="CH257" s="167"/>
      <c r="CI257" s="167"/>
      <c r="CJ257" s="167"/>
      <c r="CK257" s="167"/>
      <c r="CL257" s="167"/>
      <c r="CM257" s="167"/>
      <c r="CN257" s="167"/>
      <c r="CO257" s="167"/>
      <c r="CP257" s="167"/>
    </row>
    <row r="258" spans="1:94" ht="13.5" customHeight="1" x14ac:dyDescent="0.2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77" t="s">
        <v>482</v>
      </c>
      <c r="AV258" s="229" t="e">
        <f>#REF!</f>
        <v>#REF!</v>
      </c>
      <c r="AW258" s="307">
        <v>0.95</v>
      </c>
      <c r="AX258" s="305" t="e">
        <f t="shared" si="18"/>
        <v>#REF!</v>
      </c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241"/>
      <c r="BL258" s="167"/>
      <c r="BM258" s="167"/>
      <c r="BN258" s="167"/>
      <c r="BO258" s="167"/>
      <c r="BP258" s="167"/>
      <c r="BQ258" s="167"/>
      <c r="BR258" s="167"/>
      <c r="BS258" s="167"/>
      <c r="BT258" s="167"/>
      <c r="BU258" s="167"/>
      <c r="BV258" s="167"/>
      <c r="BW258" s="167"/>
      <c r="BX258" s="167"/>
      <c r="BY258" s="167"/>
      <c r="BZ258" s="167"/>
      <c r="CA258" s="167"/>
      <c r="CB258" s="167"/>
      <c r="CC258" s="167"/>
      <c r="CD258" s="167"/>
      <c r="CE258" s="167"/>
      <c r="CF258" s="167"/>
      <c r="CG258" s="167"/>
      <c r="CH258" s="167"/>
      <c r="CI258" s="167"/>
      <c r="CJ258" s="167"/>
      <c r="CK258" s="167"/>
      <c r="CL258" s="167"/>
      <c r="CM258" s="167"/>
      <c r="CN258" s="167"/>
      <c r="CO258" s="167"/>
      <c r="CP258" s="167"/>
    </row>
    <row r="259" spans="1:94" x14ac:dyDescent="0.2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248" t="s">
        <v>139</v>
      </c>
      <c r="AV259" s="305" t="e">
        <f>#REF!</f>
        <v>#REF!</v>
      </c>
      <c r="AW259" s="306">
        <v>0.95</v>
      </c>
      <c r="AX259" s="305" t="e">
        <f t="shared" si="18"/>
        <v>#REF!</v>
      </c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241"/>
      <c r="BL259" s="167"/>
      <c r="BM259" s="167"/>
      <c r="BN259" s="167"/>
      <c r="BO259" s="167"/>
      <c r="BP259" s="167"/>
      <c r="BQ259" s="167"/>
      <c r="BR259" s="167"/>
      <c r="BS259" s="167"/>
      <c r="BT259" s="167"/>
      <c r="BU259" s="167"/>
      <c r="BV259" s="167"/>
      <c r="BW259" s="167"/>
      <c r="BX259" s="167"/>
      <c r="BY259" s="167"/>
      <c r="BZ259" s="167"/>
      <c r="CA259" s="167"/>
      <c r="CB259" s="167"/>
      <c r="CC259" s="167"/>
      <c r="CD259" s="167"/>
      <c r="CE259" s="167"/>
      <c r="CF259" s="167"/>
      <c r="CG259" s="167"/>
      <c r="CH259" s="167"/>
      <c r="CI259" s="167"/>
      <c r="CJ259" s="167"/>
      <c r="CK259" s="167"/>
      <c r="CL259" s="167"/>
      <c r="CM259" s="167"/>
      <c r="CN259" s="167"/>
      <c r="CO259" s="167"/>
      <c r="CP259" s="167"/>
    </row>
    <row r="260" spans="1:94" ht="14.45" customHeight="1" x14ac:dyDescent="0.2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77" t="s">
        <v>483</v>
      </c>
      <c r="AV260" s="229" t="e">
        <f>AX3</f>
        <v>#REF!</v>
      </c>
      <c r="AW260" s="307">
        <v>0.95</v>
      </c>
      <c r="AX260" s="305" t="e">
        <f t="shared" si="18"/>
        <v>#REF!</v>
      </c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241"/>
      <c r="BL260" s="167"/>
      <c r="BM260" s="167"/>
      <c r="BN260" s="167"/>
      <c r="BO260" s="167"/>
      <c r="BP260" s="167"/>
      <c r="BQ260" s="167"/>
      <c r="BR260" s="167"/>
      <c r="BS260" s="167"/>
      <c r="BT260" s="167"/>
      <c r="BU260" s="167"/>
      <c r="BV260" s="167"/>
      <c r="BW260" s="167"/>
      <c r="BX260" s="167"/>
      <c r="BY260" s="167"/>
      <c r="BZ260" s="167"/>
      <c r="CA260" s="167"/>
      <c r="CB260" s="167"/>
      <c r="CC260" s="167"/>
      <c r="CD260" s="167"/>
      <c r="CE260" s="167"/>
      <c r="CF260" s="167"/>
      <c r="CG260" s="167"/>
      <c r="CH260" s="167"/>
      <c r="CI260" s="167"/>
      <c r="CJ260" s="167"/>
      <c r="CK260" s="167"/>
      <c r="CL260" s="167"/>
      <c r="CM260" s="167"/>
      <c r="CN260" s="167"/>
      <c r="CO260" s="167"/>
      <c r="CP260" s="167"/>
    </row>
    <row r="261" spans="1:94" x14ac:dyDescent="0.2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308" t="s">
        <v>484</v>
      </c>
      <c r="AV261" s="305" t="e">
        <f>AX10</f>
        <v>#REF!</v>
      </c>
      <c r="AW261" s="306">
        <v>0.95</v>
      </c>
      <c r="AX261" s="305" t="e">
        <f t="shared" si="18"/>
        <v>#REF!</v>
      </c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241"/>
      <c r="BL261" s="167"/>
      <c r="BM261" s="167"/>
      <c r="BN261" s="167"/>
      <c r="BO261" s="167"/>
      <c r="BP261" s="167"/>
      <c r="BQ261" s="167"/>
      <c r="BR261" s="167"/>
      <c r="BS261" s="167"/>
      <c r="BT261" s="167"/>
      <c r="BU261" s="167"/>
      <c r="BV261" s="167"/>
      <c r="BW261" s="167"/>
      <c r="BX261" s="167"/>
      <c r="BY261" s="167"/>
      <c r="BZ261" s="167"/>
      <c r="CA261" s="167"/>
      <c r="CB261" s="167"/>
      <c r="CC261" s="167"/>
      <c r="CD261" s="167"/>
      <c r="CE261" s="167"/>
      <c r="CF261" s="167"/>
      <c r="CG261" s="167"/>
      <c r="CH261" s="167"/>
      <c r="CI261" s="167"/>
      <c r="CJ261" s="167"/>
      <c r="CK261" s="167"/>
      <c r="CL261" s="167"/>
      <c r="CM261" s="167"/>
      <c r="CN261" s="167"/>
      <c r="CO261" s="167"/>
      <c r="CP261" s="167"/>
    </row>
    <row r="262" spans="1:94" x14ac:dyDescent="0.2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93" t="s">
        <v>311</v>
      </c>
      <c r="AV262" s="229" t="e">
        <f>AX16</f>
        <v>#REF!</v>
      </c>
      <c r="AW262" s="307">
        <v>0.95</v>
      </c>
      <c r="AX262" s="305" t="e">
        <f t="shared" si="18"/>
        <v>#REF!</v>
      </c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241"/>
      <c r="BL262" s="167"/>
      <c r="BM262" s="167"/>
      <c r="BN262" s="167"/>
      <c r="BO262" s="167"/>
      <c r="BP262" s="167"/>
      <c r="BQ262" s="167"/>
      <c r="BR262" s="167"/>
      <c r="BS262" s="167"/>
      <c r="BT262" s="167"/>
      <c r="BU262" s="167"/>
      <c r="BV262" s="167"/>
      <c r="BW262" s="167"/>
      <c r="BX262" s="167"/>
      <c r="BY262" s="167"/>
      <c r="BZ262" s="167"/>
      <c r="CA262" s="167"/>
      <c r="CB262" s="167"/>
      <c r="CC262" s="167"/>
      <c r="CD262" s="167"/>
      <c r="CE262" s="167"/>
      <c r="CF262" s="167"/>
      <c r="CG262" s="167"/>
      <c r="CH262" s="167"/>
      <c r="CI262" s="167"/>
      <c r="CJ262" s="167"/>
      <c r="CK262" s="167"/>
      <c r="CL262" s="167"/>
      <c r="CM262" s="167"/>
      <c r="CN262" s="167"/>
      <c r="CO262" s="167"/>
      <c r="CP262" s="167"/>
    </row>
    <row r="263" spans="1:94" x14ac:dyDescent="0.2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309" t="s">
        <v>318</v>
      </c>
      <c r="AV263" s="305" t="e">
        <f>AX37</f>
        <v>#REF!</v>
      </c>
      <c r="AW263" s="306">
        <v>0.95</v>
      </c>
      <c r="AX263" s="305" t="e">
        <f t="shared" si="18"/>
        <v>#REF!</v>
      </c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241"/>
      <c r="BL263" s="167"/>
      <c r="BM263" s="167"/>
      <c r="BN263" s="167"/>
      <c r="BO263" s="167"/>
      <c r="BP263" s="167"/>
      <c r="BQ263" s="167"/>
      <c r="BR263" s="167"/>
      <c r="BS263" s="167"/>
      <c r="BT263" s="167"/>
      <c r="BU263" s="167"/>
      <c r="BV263" s="167"/>
      <c r="BW263" s="167"/>
      <c r="BX263" s="167"/>
      <c r="BY263" s="167"/>
      <c r="BZ263" s="167"/>
      <c r="CA263" s="167"/>
      <c r="CB263" s="167"/>
      <c r="CC263" s="167"/>
      <c r="CD263" s="167"/>
      <c r="CE263" s="167"/>
      <c r="CF263" s="167"/>
      <c r="CG263" s="167"/>
      <c r="CH263" s="167"/>
      <c r="CI263" s="167"/>
      <c r="CJ263" s="167"/>
      <c r="CK263" s="167"/>
      <c r="CL263" s="167"/>
      <c r="CM263" s="167"/>
      <c r="CN263" s="167"/>
      <c r="CO263" s="167"/>
      <c r="CP263" s="167"/>
    </row>
    <row r="264" spans="1:94" x14ac:dyDescent="0.2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77" t="s">
        <v>485</v>
      </c>
      <c r="AV264" s="310" t="e">
        <f>AX45</f>
        <v>#REF!</v>
      </c>
      <c r="AW264" s="311">
        <v>0.95</v>
      </c>
      <c r="AX264" s="305" t="e">
        <f t="shared" si="18"/>
        <v>#REF!</v>
      </c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241"/>
      <c r="BL264" s="167"/>
      <c r="BM264" s="167"/>
      <c r="BN264" s="167"/>
      <c r="BO264" s="167"/>
      <c r="BP264" s="167"/>
      <c r="BQ264" s="167"/>
      <c r="BR264" s="167"/>
      <c r="BS264" s="167"/>
      <c r="BT264" s="167"/>
      <c r="BU264" s="167"/>
      <c r="BV264" s="167"/>
      <c r="BW264" s="167"/>
      <c r="BX264" s="167"/>
      <c r="BY264" s="167"/>
      <c r="BZ264" s="167"/>
      <c r="CA264" s="167"/>
      <c r="CB264" s="167"/>
      <c r="CC264" s="167"/>
      <c r="CD264" s="167"/>
      <c r="CE264" s="167"/>
      <c r="CF264" s="167"/>
      <c r="CG264" s="167"/>
      <c r="CH264" s="167"/>
      <c r="CI264" s="167"/>
      <c r="CJ264" s="167"/>
      <c r="CK264" s="167"/>
      <c r="CL264" s="167"/>
      <c r="CM264" s="167"/>
      <c r="CN264" s="167"/>
      <c r="CO264" s="167"/>
      <c r="CP264" s="167"/>
    </row>
    <row r="265" spans="1:94" x14ac:dyDescent="0.2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312">
        <v>3141</v>
      </c>
      <c r="AV265" s="305" t="e">
        <f>AX50</f>
        <v>#REF!</v>
      </c>
      <c r="AW265" s="306">
        <v>0.95</v>
      </c>
      <c r="AX265" s="305" t="e">
        <f t="shared" si="18"/>
        <v>#REF!</v>
      </c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241"/>
      <c r="BL265" s="167"/>
      <c r="BM265" s="167"/>
      <c r="BN265" s="167"/>
      <c r="BO265" s="167"/>
      <c r="BP265" s="167"/>
      <c r="BQ265" s="167"/>
      <c r="BR265" s="167"/>
      <c r="BS265" s="167"/>
      <c r="BT265" s="167"/>
      <c r="BU265" s="167"/>
      <c r="BV265" s="167"/>
      <c r="BW265" s="167"/>
      <c r="BX265" s="167"/>
      <c r="BY265" s="167"/>
      <c r="BZ265" s="167"/>
      <c r="CA265" s="167"/>
      <c r="CB265" s="167"/>
      <c r="CC265" s="167"/>
      <c r="CD265" s="167"/>
      <c r="CE265" s="167"/>
      <c r="CF265" s="167"/>
      <c r="CG265" s="167"/>
      <c r="CH265" s="167"/>
      <c r="CI265" s="167"/>
      <c r="CJ265" s="167"/>
      <c r="CK265" s="167"/>
      <c r="CL265" s="167"/>
      <c r="CM265" s="167"/>
      <c r="CN265" s="167"/>
      <c r="CO265" s="167"/>
      <c r="CP265" s="167"/>
    </row>
    <row r="266" spans="1:94" x14ac:dyDescent="0.2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313" t="s">
        <v>262</v>
      </c>
      <c r="AV266" s="314" t="e">
        <f>AX61</f>
        <v>#REF!</v>
      </c>
      <c r="AW266" s="306">
        <v>0.95</v>
      </c>
      <c r="AX266" s="305" t="e">
        <f t="shared" si="18"/>
        <v>#REF!</v>
      </c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241"/>
      <c r="BL266" s="167"/>
      <c r="BM266" s="167"/>
      <c r="BN266" s="167"/>
      <c r="BO266" s="167"/>
      <c r="BP266" s="167"/>
      <c r="BQ266" s="167"/>
      <c r="BR266" s="191"/>
      <c r="BS266" s="167"/>
      <c r="BT266" s="167"/>
      <c r="BU266" s="167"/>
      <c r="BV266" s="167"/>
      <c r="BW266" s="167"/>
      <c r="BX266" s="167"/>
      <c r="BY266" s="167"/>
      <c r="BZ266" s="167"/>
      <c r="CA266" s="167"/>
      <c r="CB266" s="167"/>
      <c r="CC266" s="167"/>
      <c r="CD266" s="167"/>
      <c r="CE266" s="167"/>
      <c r="CF266" s="167"/>
      <c r="CG266" s="167"/>
      <c r="CH266" s="167"/>
      <c r="CI266" s="167"/>
      <c r="CJ266" s="167"/>
      <c r="CK266" s="167"/>
      <c r="CL266" s="167"/>
      <c r="CM266" s="167"/>
      <c r="CN266" s="167"/>
      <c r="CO266" s="167"/>
      <c r="CP266" s="167"/>
    </row>
    <row r="267" spans="1:94" ht="13.5" customHeight="1" x14ac:dyDescent="0.2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312">
        <v>3093</v>
      </c>
      <c r="AV267" s="229" t="e">
        <f>AX68</f>
        <v>#REF!</v>
      </c>
      <c r="AW267" s="306">
        <v>0.95</v>
      </c>
      <c r="AX267" s="305" t="e">
        <f t="shared" si="18"/>
        <v>#REF!</v>
      </c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241"/>
      <c r="BL267" s="167"/>
      <c r="BM267" s="167"/>
      <c r="BN267" s="167"/>
      <c r="BO267" s="167"/>
      <c r="BP267" s="167"/>
      <c r="BQ267" s="167"/>
      <c r="BR267" s="167"/>
      <c r="BS267" s="167"/>
      <c r="BT267" s="167"/>
      <c r="BU267" s="167"/>
      <c r="BV267" s="167"/>
      <c r="BW267" s="167"/>
      <c r="BX267" s="167"/>
      <c r="BY267" s="167"/>
      <c r="BZ267" s="167"/>
      <c r="CA267" s="167"/>
      <c r="CB267" s="167"/>
      <c r="CC267" s="167"/>
      <c r="CD267" s="167"/>
      <c r="CE267" s="167"/>
      <c r="CF267" s="167"/>
      <c r="CG267" s="167"/>
      <c r="CH267" s="167"/>
      <c r="CI267" s="167"/>
      <c r="CJ267" s="167"/>
      <c r="CK267" s="167"/>
      <c r="CL267" s="167"/>
      <c r="CM267" s="167"/>
      <c r="CN267" s="167"/>
      <c r="CO267" s="167"/>
      <c r="CP267" s="167"/>
    </row>
    <row r="268" spans="1:94" ht="12" customHeight="1" x14ac:dyDescent="0.2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248" t="s">
        <v>486</v>
      </c>
      <c r="AV268" s="305" t="e">
        <f>AX76</f>
        <v>#REF!</v>
      </c>
      <c r="AW268" s="306">
        <v>0.95</v>
      </c>
      <c r="AX268" s="305" t="e">
        <f t="shared" si="18"/>
        <v>#REF!</v>
      </c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241"/>
      <c r="BL268" s="167"/>
      <c r="BM268" s="167"/>
      <c r="BN268" s="167"/>
      <c r="BO268" s="167"/>
      <c r="BP268" s="167"/>
      <c r="BQ268" s="167"/>
      <c r="BR268" s="167"/>
      <c r="BS268" s="167"/>
      <c r="BT268" s="167"/>
      <c r="BU268" s="167"/>
      <c r="BV268" s="167"/>
      <c r="BW268" s="167"/>
      <c r="BX268" s="167"/>
      <c r="BY268" s="167"/>
      <c r="BZ268" s="167"/>
      <c r="CA268" s="167"/>
      <c r="CB268" s="167"/>
      <c r="CC268" s="167"/>
      <c r="CD268" s="167"/>
      <c r="CE268" s="167"/>
      <c r="CF268" s="167"/>
      <c r="CG268" s="167"/>
      <c r="CH268" s="167"/>
      <c r="CI268" s="167"/>
      <c r="CJ268" s="167"/>
      <c r="CK268" s="167"/>
      <c r="CL268" s="167"/>
      <c r="CM268" s="167"/>
      <c r="CN268" s="167"/>
      <c r="CO268" s="167"/>
      <c r="CP268" s="167"/>
    </row>
    <row r="269" spans="1:94" x14ac:dyDescent="0.2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248" t="s">
        <v>487</v>
      </c>
      <c r="AV269" s="305" t="e">
        <f>AX83</f>
        <v>#REF!</v>
      </c>
      <c r="AW269" s="307">
        <v>0.95</v>
      </c>
      <c r="AX269" s="305" t="e">
        <f t="shared" si="18"/>
        <v>#REF!</v>
      </c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241"/>
      <c r="BL269" s="167"/>
      <c r="BM269" s="167"/>
      <c r="BN269" s="167"/>
      <c r="BO269" s="167"/>
      <c r="BP269" s="167"/>
      <c r="BQ269" s="167"/>
      <c r="BR269" s="167"/>
      <c r="BS269" s="167"/>
      <c r="BT269" s="167"/>
      <c r="BU269" s="167"/>
      <c r="BV269" s="167"/>
      <c r="BW269" s="167"/>
      <c r="BX269" s="167"/>
      <c r="BY269" s="167"/>
      <c r="BZ269" s="167"/>
      <c r="CA269" s="167"/>
      <c r="CB269" s="167"/>
      <c r="CC269" s="167"/>
      <c r="CD269" s="167"/>
      <c r="CE269" s="167"/>
      <c r="CF269" s="167"/>
      <c r="CG269" s="167"/>
      <c r="CH269" s="167"/>
      <c r="CI269" s="167"/>
      <c r="CJ269" s="167"/>
      <c r="CK269" s="167"/>
      <c r="CL269" s="167"/>
      <c r="CM269" s="167"/>
      <c r="CN269" s="167"/>
      <c r="CO269" s="167"/>
      <c r="CP269" s="167"/>
    </row>
    <row r="270" spans="1:94" ht="14.25" customHeight="1" x14ac:dyDescent="0.2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248" t="s">
        <v>147</v>
      </c>
      <c r="AV270" s="305" t="e">
        <f>AX91</f>
        <v>#REF!</v>
      </c>
      <c r="AW270" s="306">
        <v>0.95</v>
      </c>
      <c r="AX270" s="305" t="e">
        <f t="shared" si="18"/>
        <v>#REF!</v>
      </c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241"/>
      <c r="BL270" s="167"/>
      <c r="BM270" s="167"/>
      <c r="BN270" s="167"/>
      <c r="BO270" s="167"/>
      <c r="BP270" s="167"/>
      <c r="BQ270" s="167"/>
      <c r="BR270" s="167"/>
      <c r="BS270" s="167"/>
      <c r="BT270" s="167"/>
      <c r="BU270" s="167"/>
      <c r="BV270" s="167"/>
      <c r="BW270" s="167"/>
      <c r="BX270" s="167"/>
      <c r="BY270" s="167"/>
      <c r="BZ270" s="167"/>
      <c r="CA270" s="167"/>
      <c r="CB270" s="167"/>
      <c r="CC270" s="167"/>
      <c r="CD270" s="167"/>
      <c r="CE270" s="167"/>
      <c r="CF270" s="167"/>
      <c r="CG270" s="167"/>
      <c r="CH270" s="167"/>
      <c r="CI270" s="167"/>
      <c r="CJ270" s="167"/>
      <c r="CK270" s="167"/>
      <c r="CL270" s="167"/>
      <c r="CM270" s="167"/>
      <c r="CN270" s="167"/>
      <c r="CO270" s="167"/>
      <c r="CP270" s="167"/>
    </row>
    <row r="271" spans="1:94" x14ac:dyDescent="0.2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248" t="s">
        <v>148</v>
      </c>
      <c r="AV271" s="305" t="e">
        <f>AX98</f>
        <v>#REF!</v>
      </c>
      <c r="AW271" s="306">
        <v>0.95</v>
      </c>
      <c r="AX271" s="305" t="e">
        <f t="shared" si="18"/>
        <v>#REF!</v>
      </c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241"/>
      <c r="BL271" s="167"/>
      <c r="BM271" s="167"/>
      <c r="BN271" s="167"/>
      <c r="BO271" s="167"/>
      <c r="BP271" s="167"/>
      <c r="BQ271" s="167"/>
      <c r="BR271" s="167"/>
      <c r="BS271" s="167"/>
      <c r="BT271" s="167"/>
      <c r="BU271" s="167"/>
      <c r="BV271" s="167"/>
      <c r="BW271" s="167"/>
      <c r="BX271" s="167"/>
      <c r="BY271" s="167"/>
      <c r="BZ271" s="167"/>
      <c r="CA271" s="167"/>
      <c r="CB271" s="167"/>
      <c r="CC271" s="167"/>
      <c r="CD271" s="167"/>
      <c r="CE271" s="167"/>
      <c r="CF271" s="167"/>
      <c r="CG271" s="167"/>
      <c r="CH271" s="167"/>
      <c r="CI271" s="167"/>
      <c r="CJ271" s="167"/>
      <c r="CK271" s="167"/>
      <c r="CL271" s="167"/>
      <c r="CM271" s="167"/>
      <c r="CN271" s="167"/>
      <c r="CO271" s="167"/>
      <c r="CP271" s="167"/>
    </row>
    <row r="272" spans="1:94" x14ac:dyDescent="0.2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248" t="s">
        <v>149</v>
      </c>
      <c r="AV272" s="315" t="e">
        <f>AX106</f>
        <v>#REF!</v>
      </c>
      <c r="AW272" s="306">
        <v>0.95</v>
      </c>
      <c r="AX272" s="305" t="e">
        <f t="shared" si="18"/>
        <v>#REF!</v>
      </c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241"/>
      <c r="BL272" s="167"/>
      <c r="BM272" s="167"/>
      <c r="BN272" s="167"/>
      <c r="BO272" s="167"/>
      <c r="BP272" s="167"/>
      <c r="BQ272" s="167"/>
      <c r="BR272" s="167"/>
      <c r="BS272" s="167"/>
      <c r="BT272" s="167"/>
      <c r="BU272" s="167"/>
      <c r="BV272" s="167"/>
      <c r="BW272" s="167"/>
      <c r="BX272" s="167"/>
      <c r="BY272" s="167"/>
      <c r="BZ272" s="167"/>
      <c r="CA272" s="167"/>
      <c r="CB272" s="167"/>
      <c r="CC272" s="167"/>
      <c r="CD272" s="167"/>
      <c r="CE272" s="167"/>
      <c r="CF272" s="167"/>
      <c r="CG272" s="167"/>
      <c r="CH272" s="167"/>
      <c r="CI272" s="167"/>
      <c r="CJ272" s="167"/>
      <c r="CK272" s="167"/>
      <c r="CL272" s="167"/>
      <c r="CM272" s="167"/>
      <c r="CN272" s="167"/>
      <c r="CO272" s="167"/>
      <c r="CP272" s="167"/>
    </row>
    <row r="273" spans="1:94" x14ac:dyDescent="0.2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80" t="s">
        <v>320</v>
      </c>
      <c r="AV273" s="310" t="e">
        <f>AX117</f>
        <v>#REF!</v>
      </c>
      <c r="AW273" s="306">
        <v>0.95</v>
      </c>
      <c r="AX273" s="305" t="e">
        <f t="shared" si="18"/>
        <v>#REF!</v>
      </c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241"/>
      <c r="BL273" s="167"/>
      <c r="BM273" s="167"/>
      <c r="BN273" s="167"/>
      <c r="BO273" s="167"/>
      <c r="BP273" s="167"/>
      <c r="BQ273" s="167"/>
      <c r="BR273" s="167"/>
      <c r="BS273" s="167"/>
      <c r="BT273" s="167"/>
      <c r="BU273" s="167"/>
      <c r="BV273" s="167"/>
      <c r="BW273" s="167"/>
      <c r="BX273" s="167"/>
      <c r="BY273" s="167"/>
      <c r="BZ273" s="167"/>
      <c r="CA273" s="167"/>
      <c r="CB273" s="167"/>
      <c r="CC273" s="167"/>
      <c r="CD273" s="167"/>
      <c r="CE273" s="167"/>
      <c r="CF273" s="167"/>
      <c r="CG273" s="167"/>
      <c r="CH273" s="167"/>
      <c r="CI273" s="167"/>
      <c r="CJ273" s="167"/>
      <c r="CK273" s="167"/>
      <c r="CL273" s="167"/>
      <c r="CM273" s="167"/>
      <c r="CN273" s="167"/>
      <c r="CO273" s="167"/>
      <c r="CP273" s="167"/>
    </row>
    <row r="274" spans="1:94" ht="15.75" customHeight="1" x14ac:dyDescent="0.2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210" t="s">
        <v>266</v>
      </c>
      <c r="AV274" s="305" t="e">
        <f>AX123</f>
        <v>#REF!</v>
      </c>
      <c r="AW274" s="306">
        <v>0.95</v>
      </c>
      <c r="AX274" s="305" t="e">
        <f t="shared" si="18"/>
        <v>#REF!</v>
      </c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241"/>
      <c r="BL274" s="167"/>
      <c r="BM274" s="167"/>
      <c r="BN274" s="167"/>
      <c r="BO274" s="167"/>
      <c r="BP274" s="167"/>
      <c r="BQ274" s="167"/>
      <c r="BR274" s="167"/>
      <c r="BS274" s="167"/>
      <c r="BT274" s="167"/>
      <c r="BU274" s="167"/>
      <c r="BV274" s="167"/>
      <c r="BW274" s="167"/>
      <c r="BX274" s="167"/>
      <c r="BY274" s="167"/>
      <c r="BZ274" s="167"/>
      <c r="CA274" s="167"/>
      <c r="CB274" s="167"/>
      <c r="CC274" s="167"/>
      <c r="CD274" s="167"/>
      <c r="CE274" s="167"/>
      <c r="CF274" s="167"/>
      <c r="CG274" s="167"/>
      <c r="CH274" s="167"/>
      <c r="CI274" s="167"/>
      <c r="CJ274" s="167"/>
      <c r="CK274" s="167"/>
      <c r="CL274" s="167"/>
      <c r="CM274" s="167"/>
      <c r="CN274" s="167"/>
      <c r="CO274" s="167"/>
      <c r="CP274" s="167"/>
    </row>
    <row r="275" spans="1:94" ht="15.75" customHeight="1" x14ac:dyDescent="0.2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248" t="s">
        <v>488</v>
      </c>
      <c r="AV275" s="305" t="e">
        <f>AX130</f>
        <v>#REF!</v>
      </c>
      <c r="AW275" s="306">
        <v>0.95</v>
      </c>
      <c r="AX275" s="305" t="e">
        <f t="shared" si="18"/>
        <v>#REF!</v>
      </c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241"/>
      <c r="BL275" s="167"/>
      <c r="BM275" s="167"/>
      <c r="BN275" s="167"/>
      <c r="BO275" s="167"/>
      <c r="BP275" s="167"/>
      <c r="BQ275" s="167"/>
      <c r="BR275" s="167"/>
      <c r="BS275" s="167"/>
      <c r="BT275" s="167"/>
      <c r="BU275" s="167"/>
      <c r="BV275" s="167"/>
      <c r="BW275" s="167"/>
      <c r="BX275" s="167"/>
      <c r="BY275" s="167"/>
      <c r="BZ275" s="167"/>
      <c r="CA275" s="167"/>
      <c r="CB275" s="167"/>
      <c r="CC275" s="167"/>
      <c r="CD275" s="167"/>
      <c r="CE275" s="167"/>
      <c r="CF275" s="167"/>
      <c r="CG275" s="167"/>
      <c r="CH275" s="167"/>
      <c r="CI275" s="167"/>
      <c r="CJ275" s="167"/>
      <c r="CK275" s="167"/>
      <c r="CL275" s="167"/>
      <c r="CM275" s="167"/>
      <c r="CN275" s="167"/>
      <c r="CO275" s="167"/>
      <c r="CP275" s="167"/>
    </row>
    <row r="276" spans="1:94" ht="15.75" customHeight="1" x14ac:dyDescent="0.2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93" t="s">
        <v>489</v>
      </c>
      <c r="AV276" s="305" t="e">
        <f>AX137</f>
        <v>#REF!</v>
      </c>
      <c r="AW276" s="306">
        <v>0.95</v>
      </c>
      <c r="AX276" s="305" t="e">
        <f t="shared" si="18"/>
        <v>#REF!</v>
      </c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241"/>
      <c r="BL276" s="167"/>
      <c r="BM276" s="167"/>
      <c r="BN276" s="167"/>
      <c r="BO276" s="167"/>
      <c r="BP276" s="167"/>
      <c r="BQ276" s="167"/>
      <c r="BR276" s="167"/>
      <c r="BS276" s="167"/>
      <c r="BT276" s="167"/>
      <c r="BU276" s="167"/>
      <c r="BV276" s="167"/>
      <c r="BW276" s="167"/>
      <c r="BX276" s="167"/>
      <c r="BY276" s="167"/>
      <c r="BZ276" s="167"/>
      <c r="CA276" s="167"/>
      <c r="CB276" s="167"/>
      <c r="CC276" s="167"/>
      <c r="CD276" s="167"/>
      <c r="CE276" s="167"/>
      <c r="CF276" s="167"/>
      <c r="CG276" s="167"/>
      <c r="CH276" s="167"/>
      <c r="CI276" s="167"/>
      <c r="CJ276" s="167"/>
      <c r="CK276" s="167"/>
      <c r="CL276" s="167"/>
      <c r="CM276" s="167"/>
      <c r="CN276" s="167"/>
      <c r="CO276" s="167"/>
      <c r="CP276" s="167"/>
    </row>
    <row r="277" spans="1:94" ht="15.75" customHeight="1" x14ac:dyDescent="0.2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210" t="s">
        <v>490</v>
      </c>
      <c r="AV277" s="305" t="e">
        <f>AX144</f>
        <v>#REF!</v>
      </c>
      <c r="AW277" s="306">
        <v>0.95</v>
      </c>
      <c r="AX277" s="305" t="e">
        <f t="shared" si="18"/>
        <v>#REF!</v>
      </c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241"/>
      <c r="BL277" s="167"/>
      <c r="BM277" s="167"/>
      <c r="BN277" s="167"/>
      <c r="BO277" s="167"/>
      <c r="BP277" s="167"/>
      <c r="BQ277" s="167"/>
      <c r="BR277" s="167"/>
      <c r="BS277" s="167"/>
      <c r="BT277" s="167"/>
      <c r="BU277" s="167"/>
      <c r="BV277" s="167"/>
      <c r="BW277" s="167"/>
      <c r="BX277" s="167"/>
      <c r="BY277" s="167"/>
      <c r="BZ277" s="167"/>
      <c r="CA277" s="167"/>
      <c r="CB277" s="167"/>
      <c r="CC277" s="167"/>
      <c r="CD277" s="167"/>
      <c r="CE277" s="167"/>
      <c r="CF277" s="167"/>
      <c r="CG277" s="167"/>
      <c r="CH277" s="167"/>
      <c r="CI277" s="167"/>
      <c r="CJ277" s="167"/>
      <c r="CK277" s="167"/>
      <c r="CL277" s="167"/>
      <c r="CM277" s="167"/>
      <c r="CN277" s="167"/>
      <c r="CO277" s="167"/>
      <c r="CP277" s="167"/>
    </row>
    <row r="278" spans="1:94" ht="15.75" customHeight="1" x14ac:dyDescent="0.2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210" t="s">
        <v>491</v>
      </c>
      <c r="AV278" s="305" t="e">
        <f>AX152</f>
        <v>#REF!</v>
      </c>
      <c r="AW278" s="306">
        <v>0.95</v>
      </c>
      <c r="AX278" s="305" t="e">
        <f t="shared" si="18"/>
        <v>#REF!</v>
      </c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241"/>
      <c r="BL278" s="167"/>
      <c r="BM278" s="167"/>
      <c r="BN278" s="167"/>
      <c r="BO278" s="167"/>
      <c r="BP278" s="167"/>
      <c r="BQ278" s="167"/>
      <c r="BR278" s="167"/>
      <c r="BS278" s="167"/>
      <c r="BT278" s="167"/>
      <c r="BU278" s="167"/>
      <c r="BV278" s="167"/>
      <c r="BW278" s="167"/>
      <c r="BX278" s="167"/>
      <c r="BY278" s="167"/>
      <c r="BZ278" s="167"/>
      <c r="CA278" s="167"/>
      <c r="CB278" s="167"/>
      <c r="CC278" s="167"/>
      <c r="CD278" s="167"/>
      <c r="CE278" s="167"/>
      <c r="CF278" s="167"/>
      <c r="CG278" s="167"/>
      <c r="CH278" s="167"/>
      <c r="CI278" s="167"/>
      <c r="CJ278" s="167"/>
      <c r="CK278" s="167"/>
      <c r="CL278" s="167"/>
      <c r="CM278" s="167"/>
      <c r="CN278" s="167"/>
      <c r="CO278" s="167"/>
      <c r="CP278" s="167"/>
    </row>
    <row r="279" spans="1:94" ht="15.75" customHeight="1" x14ac:dyDescent="0.2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210" t="s">
        <v>492</v>
      </c>
      <c r="AV279" s="305" t="e">
        <f>AX162</f>
        <v>#REF!</v>
      </c>
      <c r="AW279" s="306">
        <v>0.95</v>
      </c>
      <c r="AX279" s="305" t="e">
        <f t="shared" si="18"/>
        <v>#REF!</v>
      </c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241"/>
      <c r="BL279" s="167"/>
      <c r="BM279" s="167"/>
      <c r="BN279" s="167"/>
      <c r="BO279" s="167"/>
      <c r="BP279" s="167"/>
      <c r="BQ279" s="167"/>
      <c r="BR279" s="167"/>
      <c r="BS279" s="167"/>
      <c r="BT279" s="167"/>
      <c r="BU279" s="167"/>
      <c r="BV279" s="167"/>
      <c r="BW279" s="167"/>
      <c r="BX279" s="167"/>
      <c r="BY279" s="167"/>
      <c r="BZ279" s="167"/>
      <c r="CA279" s="167"/>
      <c r="CB279" s="167"/>
      <c r="CC279" s="167"/>
      <c r="CD279" s="167"/>
      <c r="CE279" s="167"/>
      <c r="CF279" s="167"/>
      <c r="CG279" s="167"/>
      <c r="CH279" s="167"/>
      <c r="CI279" s="167"/>
      <c r="CJ279" s="167"/>
      <c r="CK279" s="167"/>
      <c r="CL279" s="167"/>
      <c r="CM279" s="167"/>
      <c r="CN279" s="167"/>
      <c r="CO279" s="167"/>
      <c r="CP279" s="167"/>
    </row>
    <row r="280" spans="1:94" ht="15.75" customHeight="1" x14ac:dyDescent="0.2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210" t="s">
        <v>493</v>
      </c>
      <c r="AV280" s="305" t="e">
        <f>AX169</f>
        <v>#REF!</v>
      </c>
      <c r="AW280" s="306">
        <v>0.99</v>
      </c>
      <c r="AX280" s="305" t="e">
        <f t="shared" si="18"/>
        <v>#REF!</v>
      </c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241"/>
      <c r="BL280" s="167"/>
      <c r="BM280" s="167"/>
      <c r="BN280" s="167"/>
      <c r="BO280" s="167"/>
      <c r="BP280" s="167"/>
      <c r="BQ280" s="167"/>
      <c r="BR280" s="167"/>
      <c r="BS280" s="167"/>
      <c r="BT280" s="167"/>
      <c r="BU280" s="167"/>
      <c r="BV280" s="167"/>
      <c r="BW280" s="167"/>
      <c r="BX280" s="167"/>
      <c r="BY280" s="167"/>
      <c r="BZ280" s="167"/>
      <c r="CA280" s="167"/>
      <c r="CB280" s="167"/>
      <c r="CC280" s="167"/>
      <c r="CD280" s="167"/>
      <c r="CE280" s="167"/>
      <c r="CF280" s="167"/>
      <c r="CG280" s="167"/>
      <c r="CH280" s="167"/>
      <c r="CI280" s="167"/>
      <c r="CJ280" s="167"/>
      <c r="CK280" s="167"/>
      <c r="CL280" s="167"/>
      <c r="CM280" s="167"/>
      <c r="CN280" s="167"/>
      <c r="CO280" s="167"/>
      <c r="CP280" s="167"/>
    </row>
    <row r="281" spans="1:94" ht="15.75" customHeight="1" x14ac:dyDescent="0.2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93" t="s">
        <v>494</v>
      </c>
      <c r="AV281" s="229" t="e">
        <f>AX177</f>
        <v>#REF!</v>
      </c>
      <c r="AW281" s="306">
        <v>0.99</v>
      </c>
      <c r="AX281" s="305" t="e">
        <f t="shared" si="18"/>
        <v>#REF!</v>
      </c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241"/>
      <c r="BL281" s="167"/>
      <c r="BM281" s="167"/>
      <c r="BN281" s="167"/>
      <c r="BO281" s="167"/>
      <c r="BP281" s="167"/>
      <c r="BQ281" s="167"/>
      <c r="BR281" s="167"/>
      <c r="BS281" s="167"/>
      <c r="BT281" s="167"/>
      <c r="BU281" s="167"/>
      <c r="BV281" s="167"/>
      <c r="BW281" s="167"/>
      <c r="BX281" s="167"/>
      <c r="BY281" s="167"/>
      <c r="BZ281" s="167"/>
      <c r="CA281" s="167"/>
      <c r="CB281" s="167"/>
      <c r="CC281" s="167"/>
      <c r="CD281" s="167"/>
      <c r="CE281" s="167"/>
      <c r="CF281" s="167"/>
      <c r="CG281" s="167"/>
      <c r="CH281" s="167"/>
      <c r="CI281" s="167"/>
      <c r="CJ281" s="167"/>
      <c r="CK281" s="167"/>
      <c r="CL281" s="167"/>
      <c r="CM281" s="167"/>
      <c r="CN281" s="167"/>
      <c r="CO281" s="167"/>
      <c r="CP281" s="167"/>
    </row>
    <row r="282" spans="1:94" ht="15.75" customHeight="1" x14ac:dyDescent="0.2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248" t="s">
        <v>150</v>
      </c>
      <c r="AV282" s="305" t="e">
        <f>AX188</f>
        <v>#REF!</v>
      </c>
      <c r="AW282" s="306">
        <v>0.98</v>
      </c>
      <c r="AX282" s="305" t="e">
        <f t="shared" si="18"/>
        <v>#REF!</v>
      </c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241"/>
      <c r="BL282" s="167"/>
      <c r="BM282" s="167"/>
      <c r="BN282" s="167"/>
      <c r="BO282" s="167"/>
      <c r="BP282" s="167"/>
      <c r="BQ282" s="167"/>
      <c r="BR282" s="167"/>
      <c r="BS282" s="167"/>
      <c r="BT282" s="167"/>
      <c r="BU282" s="167"/>
      <c r="BV282" s="167"/>
      <c r="BW282" s="167"/>
      <c r="BX282" s="167"/>
      <c r="BY282" s="167"/>
      <c r="BZ282" s="167"/>
      <c r="CA282" s="167"/>
      <c r="CB282" s="167"/>
      <c r="CC282" s="167"/>
      <c r="CD282" s="167"/>
      <c r="CE282" s="167"/>
      <c r="CF282" s="167"/>
      <c r="CG282" s="167"/>
      <c r="CH282" s="167"/>
      <c r="CI282" s="167"/>
      <c r="CJ282" s="167"/>
      <c r="CK282" s="167"/>
      <c r="CL282" s="167"/>
      <c r="CM282" s="167"/>
      <c r="CN282" s="167"/>
      <c r="CO282" s="167"/>
      <c r="CP282" s="167"/>
    </row>
    <row r="283" spans="1:94" ht="15.75" customHeight="1" x14ac:dyDescent="0.2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248" t="s">
        <v>495</v>
      </c>
      <c r="AV283" s="305" t="e">
        <f>AX200</f>
        <v>#REF!</v>
      </c>
      <c r="AW283" s="306">
        <v>0.98</v>
      </c>
      <c r="AX283" s="305" t="e">
        <f t="shared" si="18"/>
        <v>#REF!</v>
      </c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241"/>
      <c r="BL283" s="167"/>
      <c r="BM283" s="167"/>
      <c r="BN283" s="167"/>
      <c r="BO283" s="167"/>
      <c r="BP283" s="167"/>
      <c r="BQ283" s="167"/>
      <c r="BR283" s="167"/>
      <c r="BS283" s="167"/>
      <c r="BT283" s="167"/>
      <c r="BU283" s="167"/>
      <c r="BV283" s="167"/>
      <c r="BW283" s="167"/>
      <c r="BX283" s="167"/>
      <c r="BY283" s="167"/>
      <c r="BZ283" s="167"/>
      <c r="CA283" s="167"/>
      <c r="CB283" s="167"/>
      <c r="CC283" s="167"/>
      <c r="CD283" s="167"/>
      <c r="CE283" s="167"/>
      <c r="CF283" s="167"/>
      <c r="CG283" s="167"/>
      <c r="CH283" s="167"/>
      <c r="CI283" s="167"/>
      <c r="CJ283" s="167"/>
      <c r="CK283" s="167"/>
      <c r="CL283" s="167"/>
      <c r="CM283" s="167"/>
      <c r="CN283" s="167"/>
      <c r="CO283" s="167"/>
      <c r="CP283" s="167"/>
    </row>
    <row r="284" spans="1:94" x14ac:dyDescent="0.2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248" t="s">
        <v>496</v>
      </c>
      <c r="AV284" s="305" t="e">
        <f>AX212</f>
        <v>#REF!</v>
      </c>
      <c r="AW284" s="306">
        <v>0.95</v>
      </c>
      <c r="AX284" s="305" t="e">
        <f t="shared" si="18"/>
        <v>#REF!</v>
      </c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241"/>
      <c r="BL284" s="167"/>
      <c r="BM284" s="167"/>
      <c r="BN284" s="167"/>
      <c r="BO284" s="167"/>
      <c r="BP284" s="167"/>
      <c r="BQ284" s="167"/>
      <c r="BR284" s="167"/>
      <c r="BS284" s="167"/>
      <c r="BT284" s="167"/>
      <c r="BU284" s="167"/>
      <c r="BV284" s="167"/>
      <c r="BW284" s="167"/>
      <c r="BX284" s="167"/>
      <c r="BY284" s="167"/>
      <c r="BZ284" s="167"/>
      <c r="CA284" s="167"/>
      <c r="CB284" s="167"/>
      <c r="CC284" s="167"/>
      <c r="CD284" s="167"/>
      <c r="CE284" s="167"/>
      <c r="CF284" s="167"/>
      <c r="CG284" s="167"/>
      <c r="CH284" s="167"/>
      <c r="CI284" s="167"/>
      <c r="CJ284" s="167"/>
      <c r="CK284" s="167"/>
      <c r="CL284" s="167"/>
      <c r="CM284" s="167"/>
      <c r="CN284" s="167"/>
      <c r="CO284" s="167"/>
      <c r="CP284" s="167"/>
    </row>
    <row r="285" spans="1:94" x14ac:dyDescent="0.2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248" t="s">
        <v>497</v>
      </c>
      <c r="AV285" s="305" t="e">
        <f>AX222</f>
        <v>#REF!</v>
      </c>
      <c r="AW285" s="306">
        <v>0.95</v>
      </c>
      <c r="AX285" s="305" t="e">
        <f t="shared" si="18"/>
        <v>#REF!</v>
      </c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241"/>
      <c r="BL285" s="167"/>
      <c r="BM285" s="167"/>
      <c r="BN285" s="167"/>
      <c r="BO285" s="167"/>
      <c r="BP285" s="167"/>
      <c r="BQ285" s="167"/>
      <c r="BR285" s="167"/>
      <c r="BS285" s="167"/>
      <c r="BT285" s="167"/>
      <c r="BU285" s="167"/>
      <c r="BV285" s="167"/>
      <c r="BW285" s="167"/>
      <c r="BX285" s="167"/>
      <c r="BY285" s="167"/>
      <c r="BZ285" s="167"/>
      <c r="CA285" s="167"/>
      <c r="CB285" s="167"/>
      <c r="CC285" s="167"/>
      <c r="CD285" s="167"/>
      <c r="CE285" s="167"/>
      <c r="CF285" s="167"/>
      <c r="CG285" s="167"/>
      <c r="CH285" s="167"/>
      <c r="CI285" s="167"/>
      <c r="CJ285" s="167"/>
      <c r="CK285" s="167"/>
      <c r="CL285" s="167"/>
      <c r="CM285" s="167"/>
      <c r="CN285" s="167"/>
      <c r="CO285" s="167"/>
      <c r="CP285" s="167"/>
    </row>
    <row r="286" spans="1:94" x14ac:dyDescent="0.2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248" t="s">
        <v>498</v>
      </c>
      <c r="AV286" s="305" t="e">
        <f>AX234</f>
        <v>#REF!</v>
      </c>
      <c r="AW286" s="306">
        <v>1</v>
      </c>
      <c r="AX286" s="305" t="e">
        <f t="shared" si="18"/>
        <v>#REF!</v>
      </c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241"/>
      <c r="BL286" s="167"/>
      <c r="BM286" s="167"/>
      <c r="BN286" s="167"/>
      <c r="BO286" s="167"/>
      <c r="BP286" s="167"/>
      <c r="BQ286" s="167"/>
      <c r="BR286" s="167"/>
      <c r="BS286" s="167"/>
      <c r="BT286" s="167"/>
      <c r="BU286" s="167"/>
      <c r="BV286" s="167"/>
      <c r="BW286" s="167"/>
      <c r="BX286" s="167"/>
      <c r="BY286" s="167"/>
      <c r="BZ286" s="167"/>
      <c r="CA286" s="167"/>
      <c r="CB286" s="167"/>
      <c r="CC286" s="167"/>
      <c r="CD286" s="167"/>
      <c r="CE286" s="167"/>
      <c r="CF286" s="167"/>
      <c r="CG286" s="167"/>
      <c r="CH286" s="167"/>
      <c r="CI286" s="167"/>
      <c r="CJ286" s="167"/>
      <c r="CK286" s="167"/>
      <c r="CL286" s="167"/>
      <c r="CM286" s="167"/>
      <c r="CN286" s="167"/>
      <c r="CO286" s="167"/>
      <c r="CP286" s="167"/>
    </row>
    <row r="287" spans="1:94" ht="13.5" thickBot="1" x14ac:dyDescent="0.25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223" t="s">
        <v>499</v>
      </c>
      <c r="AV287" s="316" t="e">
        <f>AX242</f>
        <v>#REF!</v>
      </c>
      <c r="AW287" s="317">
        <v>1</v>
      </c>
      <c r="AX287" s="305" t="e">
        <f t="shared" si="18"/>
        <v>#REF!</v>
      </c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241"/>
      <c r="BL287" s="167"/>
      <c r="BM287" s="167"/>
      <c r="BN287" s="167"/>
      <c r="BO287" s="167"/>
      <c r="BP287" s="167"/>
      <c r="BQ287" s="167"/>
      <c r="BR287" s="167"/>
      <c r="BS287" s="167"/>
      <c r="BT287" s="167"/>
      <c r="BU287" s="167"/>
      <c r="BV287" s="167"/>
      <c r="BW287" s="167"/>
      <c r="BX287" s="167"/>
      <c r="BY287" s="167"/>
      <c r="BZ287" s="167"/>
      <c r="CA287" s="167"/>
      <c r="CB287" s="167"/>
      <c r="CC287" s="167"/>
      <c r="CD287" s="167"/>
      <c r="CE287" s="167"/>
      <c r="CF287" s="167"/>
      <c r="CG287" s="167"/>
      <c r="CH287" s="167"/>
      <c r="CI287" s="167"/>
      <c r="CJ287" s="167"/>
      <c r="CK287" s="167"/>
      <c r="CL287" s="167"/>
      <c r="CM287" s="167"/>
      <c r="CN287" s="167"/>
      <c r="CO287" s="167"/>
      <c r="CP287" s="167"/>
    </row>
    <row r="288" spans="1:94" ht="13.5" thickBot="1" x14ac:dyDescent="0.25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236" t="s">
        <v>500</v>
      </c>
      <c r="AV288" s="222" t="e">
        <f>SUM(AV254:AV287)</f>
        <v>#REF!</v>
      </c>
      <c r="AW288" s="261">
        <v>0.96</v>
      </c>
      <c r="AX288" s="222" t="e">
        <f>SUM(AX254:AX287)</f>
        <v>#REF!</v>
      </c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241"/>
      <c r="BL288" s="167"/>
      <c r="BM288" s="167"/>
      <c r="BN288" s="167"/>
      <c r="BO288" s="167"/>
      <c r="BP288" s="167"/>
      <c r="BQ288" s="167"/>
      <c r="BR288" s="167"/>
      <c r="BS288" s="167"/>
      <c r="BT288" s="167"/>
      <c r="BU288" s="167"/>
      <c r="BV288" s="167"/>
      <c r="BW288" s="167"/>
      <c r="BX288" s="167"/>
      <c r="BY288" s="167"/>
      <c r="BZ288" s="167"/>
      <c r="CA288" s="167"/>
      <c r="CB288" s="167"/>
      <c r="CC288" s="167"/>
      <c r="CD288" s="167"/>
      <c r="CE288" s="167"/>
      <c r="CF288" s="167"/>
      <c r="CG288" s="167"/>
      <c r="CH288" s="167"/>
      <c r="CI288" s="167"/>
      <c r="CJ288" s="167"/>
      <c r="CK288" s="167"/>
      <c r="CL288" s="167"/>
      <c r="CM288" s="167"/>
      <c r="CN288" s="167"/>
      <c r="CO288" s="167"/>
      <c r="CP288" s="167"/>
    </row>
    <row r="289" spans="1:94" x14ac:dyDescent="0.2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241"/>
      <c r="BL289" s="167"/>
      <c r="BM289" s="167"/>
      <c r="BN289" s="167"/>
      <c r="BO289" s="167"/>
      <c r="BP289" s="167"/>
      <c r="BQ289" s="167"/>
      <c r="BR289" s="167"/>
      <c r="BS289" s="167"/>
      <c r="BT289" s="167"/>
      <c r="BU289" s="167"/>
      <c r="BV289" s="167"/>
      <c r="BW289" s="167"/>
      <c r="BX289" s="167"/>
      <c r="BY289" s="167"/>
      <c r="BZ289" s="167"/>
      <c r="CA289" s="167"/>
      <c r="CB289" s="167"/>
      <c r="CC289" s="167"/>
      <c r="CD289" s="167"/>
      <c r="CE289" s="167"/>
      <c r="CF289" s="167"/>
      <c r="CG289" s="167"/>
      <c r="CH289" s="167"/>
      <c r="CI289" s="167"/>
      <c r="CJ289" s="167"/>
      <c r="CK289" s="167"/>
      <c r="CL289" s="167"/>
      <c r="CM289" s="167"/>
      <c r="CN289" s="167"/>
      <c r="CO289" s="167"/>
      <c r="CP289" s="167"/>
    </row>
    <row r="290" spans="1:94" x14ac:dyDescent="0.2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241"/>
      <c r="BL290" s="167"/>
      <c r="BM290" s="167"/>
      <c r="BN290" s="167"/>
      <c r="BO290" s="167"/>
      <c r="BP290" s="167"/>
      <c r="BQ290" s="167"/>
      <c r="BR290" s="167"/>
      <c r="BS290" s="167"/>
      <c r="BT290" s="167"/>
      <c r="BU290" s="167"/>
      <c r="BV290" s="167"/>
      <c r="BW290" s="167"/>
      <c r="BX290" s="167"/>
      <c r="BY290" s="167"/>
      <c r="BZ290" s="167"/>
      <c r="CA290" s="167"/>
      <c r="CB290" s="167"/>
      <c r="CC290" s="167"/>
      <c r="CD290" s="167"/>
      <c r="CE290" s="167"/>
      <c r="CF290" s="167"/>
      <c r="CG290" s="167"/>
      <c r="CH290" s="167"/>
      <c r="CI290" s="167"/>
      <c r="CJ290" s="167"/>
      <c r="CK290" s="167"/>
      <c r="CL290" s="167"/>
      <c r="CM290" s="167"/>
      <c r="CN290" s="167"/>
      <c r="CO290" s="167"/>
      <c r="CP290" s="167"/>
    </row>
    <row r="291" spans="1:94" x14ac:dyDescent="0.2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241"/>
      <c r="BL291" s="167"/>
      <c r="BM291" s="167"/>
      <c r="BN291" s="167"/>
      <c r="BO291" s="167"/>
      <c r="BP291" s="167"/>
      <c r="BQ291" s="167"/>
      <c r="BR291" s="167"/>
      <c r="BS291" s="167"/>
      <c r="BT291" s="167"/>
      <c r="BU291" s="167"/>
      <c r="BV291" s="167"/>
      <c r="BW291" s="167"/>
      <c r="BX291" s="167"/>
      <c r="BY291" s="167"/>
      <c r="BZ291" s="167"/>
      <c r="CA291" s="167"/>
      <c r="CB291" s="167"/>
      <c r="CC291" s="167"/>
      <c r="CD291" s="167"/>
      <c r="CE291" s="167"/>
      <c r="CF291" s="167"/>
      <c r="CG291" s="167"/>
      <c r="CH291" s="167"/>
      <c r="CI291" s="167"/>
      <c r="CJ291" s="167"/>
      <c r="CK291" s="167"/>
      <c r="CL291" s="167"/>
      <c r="CM291" s="167"/>
      <c r="CN291" s="167"/>
      <c r="CO291" s="167"/>
      <c r="CP291" s="167"/>
    </row>
    <row r="292" spans="1:94" x14ac:dyDescent="0.2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241"/>
      <c r="BL292" s="167"/>
      <c r="BM292" s="167"/>
      <c r="BN292" s="167"/>
      <c r="BO292" s="167"/>
      <c r="BP292" s="167"/>
      <c r="BQ292" s="167"/>
      <c r="BR292" s="167"/>
      <c r="BS292" s="167"/>
      <c r="BT292" s="167"/>
      <c r="BU292" s="167"/>
      <c r="BV292" s="167"/>
      <c r="BW292" s="167"/>
      <c r="BX292" s="167"/>
      <c r="BY292" s="167"/>
      <c r="BZ292" s="167"/>
      <c r="CA292" s="167"/>
      <c r="CB292" s="167"/>
      <c r="CC292" s="167"/>
      <c r="CD292" s="167"/>
      <c r="CE292" s="167"/>
      <c r="CF292" s="167"/>
      <c r="CG292" s="167"/>
      <c r="CH292" s="167"/>
      <c r="CI292" s="167"/>
      <c r="CJ292" s="167"/>
      <c r="CK292" s="167"/>
      <c r="CL292" s="167"/>
      <c r="CM292" s="167"/>
      <c r="CN292" s="167"/>
      <c r="CO292" s="167"/>
      <c r="CP292" s="167"/>
    </row>
    <row r="293" spans="1:94" x14ac:dyDescent="0.2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241"/>
      <c r="BL293" s="167"/>
      <c r="BM293" s="167"/>
      <c r="BN293" s="167"/>
      <c r="BO293" s="167"/>
      <c r="BP293" s="167"/>
      <c r="BQ293" s="167"/>
      <c r="BR293" s="167"/>
      <c r="BS293" s="167"/>
      <c r="BT293" s="167"/>
      <c r="BU293" s="167"/>
      <c r="BV293" s="167"/>
      <c r="BW293" s="167"/>
      <c r="BX293" s="167"/>
      <c r="BY293" s="167"/>
      <c r="BZ293" s="167"/>
      <c r="CA293" s="167"/>
      <c r="CB293" s="167"/>
      <c r="CC293" s="167"/>
      <c r="CD293" s="167"/>
      <c r="CE293" s="167"/>
      <c r="CF293" s="167"/>
      <c r="CG293" s="167"/>
      <c r="CH293" s="167"/>
      <c r="CI293" s="167"/>
      <c r="CJ293" s="167"/>
      <c r="CK293" s="167"/>
      <c r="CL293" s="167"/>
      <c r="CM293" s="167"/>
      <c r="CN293" s="167"/>
      <c r="CO293" s="167"/>
      <c r="CP293" s="167"/>
    </row>
    <row r="294" spans="1:94" x14ac:dyDescent="0.2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209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241"/>
      <c r="BL294" s="167"/>
      <c r="BM294" s="167"/>
      <c r="BN294" s="167"/>
      <c r="BO294" s="167"/>
      <c r="BP294" s="167"/>
      <c r="BQ294" s="167"/>
      <c r="BR294" s="167"/>
      <c r="BS294" s="167"/>
      <c r="BT294" s="167"/>
      <c r="BU294" s="167"/>
      <c r="BV294" s="167"/>
      <c r="BW294" s="167"/>
      <c r="BX294" s="167"/>
      <c r="BY294" s="167"/>
      <c r="BZ294" s="167"/>
      <c r="CA294" s="167"/>
      <c r="CB294" s="167"/>
      <c r="CC294" s="167"/>
      <c r="CD294" s="167"/>
      <c r="CE294" s="167"/>
      <c r="CF294" s="167"/>
      <c r="CG294" s="167"/>
      <c r="CH294" s="167"/>
      <c r="CI294" s="167"/>
      <c r="CJ294" s="167"/>
      <c r="CK294" s="167"/>
      <c r="CL294" s="167"/>
      <c r="CM294" s="167"/>
      <c r="CN294" s="167"/>
      <c r="CO294" s="167"/>
      <c r="CP294" s="167"/>
    </row>
    <row r="295" spans="1:94" x14ac:dyDescent="0.2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241"/>
      <c r="BL295" s="167"/>
      <c r="BM295" s="167"/>
      <c r="BN295" s="167"/>
      <c r="BO295" s="167"/>
      <c r="BP295" s="167"/>
      <c r="BQ295" s="167"/>
      <c r="BR295" s="167"/>
      <c r="BS295" s="167"/>
      <c r="BT295" s="167"/>
      <c r="BU295" s="167"/>
      <c r="BV295" s="167"/>
      <c r="BW295" s="167"/>
      <c r="BX295" s="167"/>
      <c r="BY295" s="167"/>
      <c r="BZ295" s="167"/>
      <c r="CA295" s="167"/>
      <c r="CB295" s="167"/>
      <c r="CC295" s="167"/>
      <c r="CD295" s="167"/>
      <c r="CE295" s="167"/>
      <c r="CF295" s="167"/>
      <c r="CG295" s="167"/>
      <c r="CH295" s="167"/>
      <c r="CI295" s="167"/>
      <c r="CJ295" s="167"/>
      <c r="CK295" s="167"/>
      <c r="CL295" s="167"/>
      <c r="CM295" s="167"/>
      <c r="CN295" s="167"/>
      <c r="CO295" s="167"/>
      <c r="CP295" s="167"/>
    </row>
    <row r="296" spans="1:94" x14ac:dyDescent="0.2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241"/>
      <c r="BL296" s="167"/>
      <c r="BM296" s="167"/>
      <c r="BN296" s="167"/>
      <c r="BO296" s="167"/>
      <c r="BP296" s="167"/>
      <c r="BQ296" s="167"/>
      <c r="BR296" s="167"/>
      <c r="BS296" s="167"/>
      <c r="BT296" s="167"/>
      <c r="BU296" s="167"/>
      <c r="BV296" s="167"/>
      <c r="BW296" s="167"/>
      <c r="BX296" s="167"/>
      <c r="BY296" s="167"/>
      <c r="BZ296" s="167"/>
      <c r="CA296" s="167"/>
      <c r="CB296" s="167"/>
      <c r="CC296" s="167"/>
      <c r="CD296" s="167"/>
      <c r="CE296" s="167"/>
      <c r="CF296" s="167"/>
      <c r="CG296" s="167"/>
      <c r="CH296" s="167"/>
      <c r="CI296" s="167"/>
      <c r="CJ296" s="167"/>
      <c r="CK296" s="167"/>
      <c r="CL296" s="167"/>
      <c r="CM296" s="167"/>
      <c r="CN296" s="167"/>
      <c r="CO296" s="167"/>
      <c r="CP296" s="167"/>
    </row>
    <row r="297" spans="1:94" x14ac:dyDescent="0.2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241"/>
      <c r="BL297" s="167"/>
      <c r="BM297" s="167"/>
      <c r="BN297" s="167"/>
      <c r="BO297" s="167"/>
      <c r="BP297" s="167"/>
      <c r="BQ297" s="167"/>
      <c r="BR297" s="167"/>
      <c r="BS297" s="167"/>
      <c r="BT297" s="167"/>
      <c r="BU297" s="167"/>
      <c r="BV297" s="167"/>
      <c r="BW297" s="167"/>
      <c r="BX297" s="167"/>
      <c r="BY297" s="167"/>
      <c r="BZ297" s="167"/>
      <c r="CA297" s="167"/>
      <c r="CB297" s="167"/>
      <c r="CC297" s="167"/>
      <c r="CD297" s="167"/>
      <c r="CE297" s="167"/>
      <c r="CF297" s="167"/>
      <c r="CG297" s="167"/>
      <c r="CH297" s="167"/>
      <c r="CI297" s="167"/>
      <c r="CJ297" s="167"/>
      <c r="CK297" s="167"/>
      <c r="CL297" s="167"/>
      <c r="CM297" s="167"/>
      <c r="CN297" s="167"/>
      <c r="CO297" s="167"/>
      <c r="CP297" s="167"/>
    </row>
    <row r="298" spans="1:94" x14ac:dyDescent="0.2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241"/>
      <c r="BL298" s="167"/>
      <c r="BM298" s="167"/>
      <c r="BN298" s="167"/>
      <c r="BO298" s="167"/>
      <c r="BP298" s="167"/>
      <c r="BQ298" s="167"/>
      <c r="BR298" s="167"/>
      <c r="BS298" s="167"/>
      <c r="BT298" s="167"/>
      <c r="BU298" s="167"/>
      <c r="BV298" s="167"/>
      <c r="BW298" s="167"/>
      <c r="BX298" s="167"/>
      <c r="BY298" s="167"/>
      <c r="BZ298" s="167"/>
      <c r="CA298" s="167"/>
      <c r="CB298" s="167"/>
      <c r="CC298" s="167"/>
      <c r="CD298" s="167"/>
      <c r="CE298" s="167"/>
      <c r="CF298" s="167"/>
      <c r="CG298" s="167"/>
      <c r="CH298" s="167"/>
      <c r="CI298" s="167"/>
      <c r="CJ298" s="167"/>
      <c r="CK298" s="167"/>
      <c r="CL298" s="167"/>
      <c r="CM298" s="167"/>
      <c r="CN298" s="167"/>
      <c r="CO298" s="167"/>
      <c r="CP298" s="167"/>
    </row>
    <row r="299" spans="1:94" x14ac:dyDescent="0.2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241"/>
      <c r="BL299" s="167"/>
      <c r="BM299" s="167"/>
      <c r="BN299" s="167"/>
      <c r="BO299" s="167"/>
      <c r="BP299" s="167"/>
      <c r="BQ299" s="167"/>
      <c r="BR299" s="167"/>
      <c r="BS299" s="167"/>
      <c r="BT299" s="167"/>
      <c r="BU299" s="167"/>
      <c r="BV299" s="167"/>
      <c r="BW299" s="167"/>
      <c r="BX299" s="167"/>
      <c r="BY299" s="167"/>
      <c r="BZ299" s="167"/>
      <c r="CA299" s="167"/>
      <c r="CB299" s="167"/>
      <c r="CC299" s="167"/>
      <c r="CD299" s="167"/>
      <c r="CE299" s="167"/>
      <c r="CF299" s="167"/>
      <c r="CG299" s="167"/>
      <c r="CH299" s="167"/>
      <c r="CI299" s="167"/>
      <c r="CJ299" s="167"/>
      <c r="CK299" s="167"/>
      <c r="CL299" s="167"/>
      <c r="CM299" s="167"/>
      <c r="CN299" s="167"/>
      <c r="CO299" s="167"/>
      <c r="CP299" s="167"/>
    </row>
    <row r="300" spans="1:94" x14ac:dyDescent="0.2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241"/>
      <c r="BL300" s="167"/>
      <c r="BM300" s="167"/>
      <c r="BN300" s="167"/>
      <c r="BO300" s="167"/>
      <c r="BP300" s="167"/>
      <c r="BQ300" s="167"/>
      <c r="BR300" s="167"/>
      <c r="BS300" s="167"/>
      <c r="BT300" s="167"/>
      <c r="BU300" s="167"/>
      <c r="BV300" s="167"/>
      <c r="BW300" s="167"/>
      <c r="BX300" s="167"/>
      <c r="BY300" s="167"/>
      <c r="BZ300" s="167"/>
      <c r="CA300" s="167"/>
      <c r="CB300" s="167"/>
      <c r="CC300" s="167"/>
      <c r="CD300" s="167"/>
      <c r="CE300" s="167"/>
      <c r="CF300" s="167"/>
      <c r="CG300" s="167"/>
      <c r="CH300" s="167"/>
      <c r="CI300" s="167"/>
      <c r="CJ300" s="167"/>
      <c r="CK300" s="167"/>
      <c r="CL300" s="167"/>
      <c r="CM300" s="167"/>
      <c r="CN300" s="167"/>
      <c r="CO300" s="167"/>
      <c r="CP300" s="167"/>
    </row>
    <row r="301" spans="1:94" x14ac:dyDescent="0.2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241"/>
      <c r="BL301" s="167"/>
      <c r="BM301" s="167"/>
      <c r="BN301" s="167"/>
      <c r="BO301" s="167"/>
      <c r="BP301" s="167"/>
      <c r="BQ301" s="167"/>
      <c r="BR301" s="167"/>
      <c r="BS301" s="167"/>
      <c r="BT301" s="167"/>
      <c r="BU301" s="167"/>
      <c r="BV301" s="167"/>
      <c r="BW301" s="167"/>
      <c r="BX301" s="167"/>
      <c r="BY301" s="167"/>
      <c r="BZ301" s="167"/>
      <c r="CA301" s="167"/>
      <c r="CB301" s="167"/>
      <c r="CC301" s="167"/>
      <c r="CD301" s="167"/>
      <c r="CE301" s="167"/>
      <c r="CF301" s="167"/>
      <c r="CG301" s="167"/>
      <c r="CH301" s="167"/>
      <c r="CI301" s="167"/>
      <c r="CJ301" s="167"/>
      <c r="CK301" s="167"/>
      <c r="CL301" s="167"/>
      <c r="CM301" s="167"/>
      <c r="CN301" s="167"/>
      <c r="CO301" s="167"/>
      <c r="CP301" s="167"/>
    </row>
    <row r="302" spans="1:94" x14ac:dyDescent="0.2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241"/>
      <c r="BL302" s="167"/>
      <c r="BM302" s="167"/>
      <c r="BN302" s="167"/>
      <c r="BO302" s="167"/>
      <c r="BP302" s="167"/>
      <c r="BQ302" s="167"/>
      <c r="BR302" s="167"/>
      <c r="BS302" s="167"/>
      <c r="BT302" s="167"/>
      <c r="BU302" s="167"/>
      <c r="BV302" s="167"/>
      <c r="BW302" s="167"/>
      <c r="BX302" s="167"/>
      <c r="BY302" s="167"/>
      <c r="BZ302" s="167"/>
      <c r="CA302" s="167"/>
      <c r="CB302" s="167"/>
      <c r="CC302" s="167"/>
      <c r="CD302" s="167"/>
      <c r="CE302" s="167"/>
      <c r="CF302" s="167"/>
      <c r="CG302" s="167"/>
      <c r="CH302" s="167"/>
      <c r="CI302" s="167"/>
      <c r="CJ302" s="167"/>
      <c r="CK302" s="167"/>
      <c r="CL302" s="167"/>
      <c r="CM302" s="167"/>
      <c r="CN302" s="167"/>
      <c r="CO302" s="167"/>
      <c r="CP302" s="167"/>
    </row>
    <row r="303" spans="1:94" x14ac:dyDescent="0.2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241"/>
      <c r="BL303" s="167"/>
      <c r="BM303" s="167"/>
      <c r="BN303" s="167"/>
      <c r="BO303" s="167"/>
      <c r="BP303" s="167"/>
      <c r="BQ303" s="167"/>
      <c r="BR303" s="167"/>
      <c r="BS303" s="167"/>
      <c r="BT303" s="167"/>
      <c r="BU303" s="167"/>
      <c r="BV303" s="167"/>
      <c r="BW303" s="167"/>
      <c r="BX303" s="167"/>
      <c r="BY303" s="167"/>
      <c r="BZ303" s="167"/>
      <c r="CA303" s="167"/>
      <c r="CB303" s="167"/>
      <c r="CC303" s="167"/>
      <c r="CD303" s="167"/>
      <c r="CE303" s="167"/>
      <c r="CF303" s="167"/>
      <c r="CG303" s="167"/>
      <c r="CH303" s="167"/>
      <c r="CI303" s="167"/>
      <c r="CJ303" s="167"/>
      <c r="CK303" s="167"/>
      <c r="CL303" s="167"/>
      <c r="CM303" s="167"/>
      <c r="CN303" s="167"/>
      <c r="CO303" s="167"/>
      <c r="CP303" s="167"/>
    </row>
    <row r="304" spans="1:94" x14ac:dyDescent="0.2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241"/>
      <c r="BL304" s="167"/>
      <c r="BM304" s="167"/>
      <c r="BN304" s="167"/>
      <c r="BO304" s="167"/>
      <c r="BP304" s="167"/>
      <c r="BQ304" s="167"/>
      <c r="BR304" s="167"/>
      <c r="BS304" s="167"/>
      <c r="BT304" s="167"/>
      <c r="BU304" s="167"/>
      <c r="BV304" s="167"/>
      <c r="BW304" s="167"/>
      <c r="BX304" s="167"/>
      <c r="BY304" s="167"/>
      <c r="BZ304" s="167"/>
      <c r="CA304" s="167"/>
      <c r="CB304" s="167"/>
      <c r="CC304" s="167"/>
      <c r="CD304" s="167"/>
      <c r="CE304" s="167"/>
      <c r="CF304" s="167"/>
      <c r="CG304" s="167"/>
      <c r="CH304" s="167"/>
      <c r="CI304" s="167"/>
      <c r="CJ304" s="167"/>
      <c r="CK304" s="167"/>
      <c r="CL304" s="167"/>
      <c r="CM304" s="167"/>
      <c r="CN304" s="167"/>
      <c r="CO304" s="167"/>
      <c r="CP304" s="167"/>
    </row>
    <row r="305" spans="1:94" x14ac:dyDescent="0.2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241"/>
      <c r="BL305" s="167"/>
      <c r="BM305" s="167"/>
      <c r="BN305" s="167"/>
      <c r="BO305" s="167"/>
      <c r="BP305" s="167"/>
      <c r="BQ305" s="167"/>
      <c r="BR305" s="167"/>
      <c r="BS305" s="167"/>
      <c r="BT305" s="167"/>
      <c r="BU305" s="167"/>
      <c r="BV305" s="167"/>
      <c r="BW305" s="167"/>
      <c r="BX305" s="167"/>
      <c r="BY305" s="167"/>
      <c r="BZ305" s="167"/>
      <c r="CA305" s="167"/>
      <c r="CB305" s="167"/>
      <c r="CC305" s="167"/>
      <c r="CD305" s="167"/>
      <c r="CE305" s="167"/>
      <c r="CF305" s="167"/>
      <c r="CG305" s="167"/>
      <c r="CH305" s="167"/>
      <c r="CI305" s="167"/>
      <c r="CJ305" s="167"/>
      <c r="CK305" s="167"/>
      <c r="CL305" s="167"/>
      <c r="CM305" s="167"/>
      <c r="CN305" s="167"/>
      <c r="CO305" s="167"/>
      <c r="CP305" s="167"/>
    </row>
    <row r="306" spans="1:94" x14ac:dyDescent="0.2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241"/>
      <c r="BL306" s="167"/>
      <c r="BM306" s="167"/>
      <c r="BN306" s="167"/>
      <c r="BO306" s="167"/>
      <c r="BP306" s="167"/>
      <c r="BQ306" s="167"/>
      <c r="BR306" s="167"/>
      <c r="BS306" s="167"/>
      <c r="BT306" s="167"/>
      <c r="BU306" s="167"/>
      <c r="BV306" s="167"/>
      <c r="BW306" s="167"/>
      <c r="BX306" s="167"/>
      <c r="BY306" s="167"/>
      <c r="BZ306" s="167"/>
      <c r="CA306" s="167"/>
      <c r="CB306" s="167"/>
      <c r="CC306" s="167"/>
      <c r="CD306" s="167"/>
      <c r="CE306" s="167"/>
      <c r="CF306" s="167"/>
      <c r="CG306" s="167"/>
      <c r="CH306" s="167"/>
      <c r="CI306" s="167"/>
      <c r="CJ306" s="167"/>
      <c r="CK306" s="167"/>
      <c r="CL306" s="167"/>
      <c r="CM306" s="167"/>
      <c r="CN306" s="167"/>
      <c r="CO306" s="167"/>
      <c r="CP306" s="167"/>
    </row>
    <row r="307" spans="1:94" x14ac:dyDescent="0.2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241"/>
      <c r="BL307" s="167"/>
      <c r="BM307" s="167"/>
      <c r="BN307" s="167"/>
      <c r="BO307" s="167"/>
      <c r="BP307" s="167"/>
      <c r="BQ307" s="167"/>
      <c r="BR307" s="167"/>
      <c r="BS307" s="167"/>
      <c r="BT307" s="167"/>
      <c r="BU307" s="167"/>
      <c r="BV307" s="167"/>
      <c r="BW307" s="167"/>
      <c r="BX307" s="167"/>
      <c r="BY307" s="167"/>
      <c r="BZ307" s="167"/>
      <c r="CA307" s="167"/>
      <c r="CB307" s="167"/>
      <c r="CC307" s="167"/>
      <c r="CD307" s="167"/>
      <c r="CE307" s="167"/>
      <c r="CF307" s="167"/>
      <c r="CG307" s="167"/>
      <c r="CH307" s="167"/>
      <c r="CI307" s="167"/>
      <c r="CJ307" s="167"/>
      <c r="CK307" s="167"/>
      <c r="CL307" s="167"/>
      <c r="CM307" s="167"/>
      <c r="CN307" s="167"/>
      <c r="CO307" s="167"/>
      <c r="CP307" s="167"/>
    </row>
    <row r="308" spans="1:94" x14ac:dyDescent="0.2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241"/>
      <c r="BL308" s="167"/>
      <c r="BM308" s="167"/>
      <c r="BN308" s="167"/>
      <c r="BO308" s="167"/>
      <c r="BP308" s="167"/>
      <c r="BQ308" s="167"/>
      <c r="BR308" s="167"/>
      <c r="BS308" s="167"/>
      <c r="BT308" s="167"/>
      <c r="BU308" s="167"/>
      <c r="BV308" s="167"/>
      <c r="BW308" s="167"/>
      <c r="BX308" s="167"/>
      <c r="BY308" s="167"/>
      <c r="BZ308" s="167"/>
      <c r="CA308" s="167"/>
      <c r="CB308" s="167"/>
      <c r="CC308" s="167"/>
      <c r="CD308" s="167"/>
      <c r="CE308" s="167"/>
      <c r="CF308" s="167"/>
      <c r="CG308" s="167"/>
      <c r="CH308" s="167"/>
      <c r="CI308" s="167"/>
      <c r="CJ308" s="167"/>
      <c r="CK308" s="167"/>
      <c r="CL308" s="167"/>
      <c r="CM308" s="167"/>
      <c r="CN308" s="167"/>
      <c r="CO308" s="167"/>
      <c r="CP308" s="167"/>
    </row>
    <row r="309" spans="1:94" x14ac:dyDescent="0.2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241"/>
      <c r="BL309" s="167"/>
      <c r="BM309" s="167"/>
      <c r="BN309" s="167"/>
      <c r="BO309" s="167"/>
      <c r="BP309" s="167"/>
      <c r="BQ309" s="167"/>
      <c r="BR309" s="167"/>
      <c r="BS309" s="167"/>
      <c r="BT309" s="167"/>
      <c r="BU309" s="167"/>
      <c r="BV309" s="167"/>
      <c r="BW309" s="167"/>
      <c r="BX309" s="167"/>
      <c r="BY309" s="167"/>
      <c r="BZ309" s="167"/>
      <c r="CA309" s="167"/>
      <c r="CB309" s="167"/>
      <c r="CC309" s="167"/>
      <c r="CD309" s="167"/>
      <c r="CE309" s="167"/>
      <c r="CF309" s="167"/>
      <c r="CG309" s="167"/>
      <c r="CH309" s="167"/>
      <c r="CI309" s="167"/>
      <c r="CJ309" s="167"/>
      <c r="CK309" s="167"/>
      <c r="CL309" s="167"/>
      <c r="CM309" s="167"/>
      <c r="CN309" s="167"/>
      <c r="CO309" s="167"/>
      <c r="CP309" s="167"/>
    </row>
    <row r="310" spans="1:94" x14ac:dyDescent="0.2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241"/>
      <c r="BL310" s="167"/>
      <c r="BM310" s="167"/>
      <c r="BN310" s="167"/>
      <c r="BO310" s="167"/>
      <c r="BP310" s="167"/>
      <c r="BQ310" s="167"/>
      <c r="BR310" s="167"/>
      <c r="BS310" s="167"/>
      <c r="BT310" s="167"/>
      <c r="BU310" s="167"/>
      <c r="BV310" s="167"/>
      <c r="BW310" s="167"/>
      <c r="BX310" s="167"/>
      <c r="BY310" s="167"/>
      <c r="BZ310" s="167"/>
      <c r="CA310" s="167"/>
      <c r="CB310" s="167"/>
      <c r="CC310" s="167"/>
      <c r="CD310" s="167"/>
      <c r="CE310" s="167"/>
      <c r="CF310" s="167"/>
      <c r="CG310" s="167"/>
      <c r="CH310" s="167"/>
      <c r="CI310" s="167"/>
      <c r="CJ310" s="167"/>
      <c r="CK310" s="167"/>
      <c r="CL310" s="167"/>
      <c r="CM310" s="167"/>
      <c r="CN310" s="167"/>
      <c r="CO310" s="167"/>
      <c r="CP310" s="167"/>
    </row>
    <row r="311" spans="1:94" x14ac:dyDescent="0.2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241"/>
      <c r="BL311" s="167"/>
      <c r="BM311" s="167"/>
      <c r="BN311" s="167"/>
      <c r="BO311" s="167"/>
      <c r="BP311" s="167"/>
      <c r="BQ311" s="167"/>
      <c r="BR311" s="167"/>
      <c r="BS311" s="167"/>
      <c r="BT311" s="167"/>
      <c r="BU311" s="167"/>
      <c r="BV311" s="167"/>
      <c r="BW311" s="167"/>
      <c r="BX311" s="167"/>
      <c r="BY311" s="167"/>
      <c r="BZ311" s="167"/>
      <c r="CA311" s="167"/>
      <c r="CB311" s="167"/>
      <c r="CC311" s="167"/>
      <c r="CD311" s="167"/>
      <c r="CE311" s="167"/>
      <c r="CF311" s="167"/>
      <c r="CG311" s="167"/>
      <c r="CH311" s="167"/>
      <c r="CI311" s="167"/>
      <c r="CJ311" s="167"/>
      <c r="CK311" s="167"/>
      <c r="CL311" s="167"/>
      <c r="CM311" s="167"/>
      <c r="CN311" s="167"/>
      <c r="CO311" s="167"/>
      <c r="CP311" s="167"/>
    </row>
    <row r="312" spans="1:94" x14ac:dyDescent="0.2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241"/>
      <c r="BL312" s="167"/>
      <c r="BM312" s="167"/>
      <c r="BN312" s="167"/>
      <c r="BO312" s="167"/>
      <c r="BP312" s="167"/>
      <c r="BQ312" s="167"/>
      <c r="BR312" s="242"/>
      <c r="BS312" s="167"/>
      <c r="BT312" s="167"/>
      <c r="BU312" s="167"/>
      <c r="BV312" s="167"/>
      <c r="BW312" s="167"/>
      <c r="BX312" s="167"/>
      <c r="BY312" s="167"/>
      <c r="BZ312" s="167"/>
      <c r="CA312" s="167"/>
      <c r="CB312" s="167"/>
      <c r="CC312" s="167"/>
      <c r="CD312" s="167"/>
      <c r="CE312" s="167"/>
      <c r="CF312" s="167"/>
      <c r="CG312" s="167"/>
      <c r="CH312" s="167"/>
      <c r="CI312" s="167"/>
      <c r="CJ312" s="167"/>
      <c r="CK312" s="167"/>
      <c r="CL312" s="167"/>
      <c r="CM312" s="167"/>
      <c r="CN312" s="167"/>
      <c r="CO312" s="167"/>
      <c r="CP312" s="167"/>
    </row>
    <row r="313" spans="1:94" x14ac:dyDescent="0.2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241"/>
      <c r="BL313" s="167"/>
      <c r="BM313" s="167"/>
      <c r="BN313" s="167"/>
      <c r="BO313" s="167"/>
      <c r="BP313" s="167"/>
      <c r="BQ313" s="167"/>
      <c r="BR313" s="167"/>
      <c r="BS313" s="167"/>
      <c r="BT313" s="167"/>
      <c r="BU313" s="167"/>
      <c r="BV313" s="167"/>
      <c r="BW313" s="167"/>
      <c r="BX313" s="167"/>
      <c r="BY313" s="167"/>
      <c r="BZ313" s="167"/>
      <c r="CA313" s="167"/>
      <c r="CB313" s="167"/>
      <c r="CC313" s="167"/>
      <c r="CD313" s="167"/>
      <c r="CE313" s="167"/>
      <c r="CF313" s="167"/>
      <c r="CG313" s="167"/>
      <c r="CH313" s="167"/>
      <c r="CI313" s="167"/>
      <c r="CJ313" s="167"/>
      <c r="CK313" s="167"/>
      <c r="CL313" s="167"/>
      <c r="CM313" s="167"/>
      <c r="CN313" s="167"/>
      <c r="CO313" s="167"/>
      <c r="CP313" s="167"/>
    </row>
    <row r="314" spans="1:94" x14ac:dyDescent="0.2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241"/>
      <c r="BL314" s="167"/>
      <c r="BM314" s="167"/>
      <c r="BN314" s="167"/>
      <c r="BO314" s="167"/>
      <c r="BP314" s="167"/>
      <c r="BQ314" s="167"/>
      <c r="BR314" s="167"/>
      <c r="BS314" s="167"/>
      <c r="BT314" s="167"/>
      <c r="BU314" s="167"/>
      <c r="BV314" s="167"/>
      <c r="BW314" s="167"/>
      <c r="BX314" s="167"/>
      <c r="BY314" s="167"/>
      <c r="BZ314" s="167"/>
      <c r="CA314" s="167"/>
      <c r="CB314" s="167"/>
      <c r="CC314" s="167"/>
      <c r="CD314" s="167"/>
      <c r="CE314" s="167"/>
      <c r="CF314" s="167"/>
      <c r="CG314" s="167"/>
      <c r="CH314" s="167"/>
      <c r="CI314" s="167"/>
      <c r="CJ314" s="167"/>
      <c r="CK314" s="167"/>
      <c r="CL314" s="167"/>
      <c r="CM314" s="167"/>
      <c r="CN314" s="167"/>
      <c r="CO314" s="167"/>
      <c r="CP314" s="167"/>
    </row>
    <row r="315" spans="1:94" x14ac:dyDescent="0.2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241"/>
      <c r="BL315" s="167"/>
      <c r="BM315" s="167"/>
      <c r="BN315" s="167"/>
      <c r="BO315" s="167"/>
      <c r="BP315" s="167"/>
      <c r="BQ315" s="167"/>
      <c r="BR315" s="167"/>
      <c r="BS315" s="167"/>
      <c r="BT315" s="167"/>
      <c r="BU315" s="167"/>
      <c r="BV315" s="167"/>
      <c r="BW315" s="167"/>
      <c r="BX315" s="167"/>
      <c r="BY315" s="167"/>
      <c r="BZ315" s="167"/>
      <c r="CA315" s="167"/>
      <c r="CB315" s="167"/>
      <c r="CC315" s="167"/>
      <c r="CD315" s="167"/>
      <c r="CE315" s="167"/>
      <c r="CF315" s="167"/>
      <c r="CG315" s="167"/>
      <c r="CH315" s="167"/>
      <c r="CI315" s="167"/>
      <c r="CJ315" s="167"/>
      <c r="CK315" s="167"/>
      <c r="CL315" s="167"/>
      <c r="CM315" s="167"/>
      <c r="CN315" s="167"/>
      <c r="CO315" s="167"/>
      <c r="CP315" s="167"/>
    </row>
    <row r="316" spans="1:94" x14ac:dyDescent="0.2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241"/>
      <c r="BL316" s="167"/>
      <c r="BM316" s="167"/>
      <c r="BN316" s="167"/>
      <c r="BO316" s="167"/>
      <c r="BP316" s="167"/>
      <c r="BQ316" s="167"/>
      <c r="BR316" s="167"/>
      <c r="BS316" s="167"/>
      <c r="BT316" s="167"/>
      <c r="BU316" s="167"/>
      <c r="BV316" s="167"/>
      <c r="BW316" s="167"/>
      <c r="BX316" s="167"/>
      <c r="BY316" s="167"/>
      <c r="BZ316" s="167"/>
      <c r="CA316" s="167"/>
      <c r="CB316" s="167"/>
      <c r="CC316" s="167"/>
      <c r="CD316" s="167"/>
      <c r="CE316" s="167"/>
      <c r="CF316" s="167"/>
      <c r="CG316" s="167"/>
      <c r="CH316" s="167"/>
      <c r="CI316" s="167"/>
      <c r="CJ316" s="167"/>
      <c r="CK316" s="167"/>
      <c r="CL316" s="167"/>
      <c r="CM316" s="167"/>
      <c r="CN316" s="167"/>
      <c r="CO316" s="167"/>
      <c r="CP316" s="167"/>
    </row>
    <row r="317" spans="1:94" x14ac:dyDescent="0.2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241"/>
      <c r="BL317" s="167"/>
      <c r="BM317" s="167"/>
      <c r="BN317" s="167"/>
      <c r="BO317" s="167"/>
      <c r="BP317" s="167"/>
      <c r="BQ317" s="167"/>
      <c r="BR317" s="167"/>
      <c r="BS317" s="167"/>
      <c r="BT317" s="167"/>
      <c r="BU317" s="167"/>
      <c r="BV317" s="167"/>
      <c r="BW317" s="167"/>
      <c r="BX317" s="167"/>
      <c r="BY317" s="167"/>
      <c r="BZ317" s="167"/>
      <c r="CA317" s="167"/>
      <c r="CB317" s="167"/>
      <c r="CC317" s="167"/>
      <c r="CD317" s="167"/>
      <c r="CE317" s="167"/>
      <c r="CF317" s="167"/>
      <c r="CG317" s="167"/>
      <c r="CH317" s="167"/>
      <c r="CI317" s="167"/>
      <c r="CJ317" s="167"/>
      <c r="CK317" s="167"/>
      <c r="CL317" s="167"/>
      <c r="CM317" s="167"/>
      <c r="CN317" s="167"/>
      <c r="CO317" s="167"/>
      <c r="CP317" s="167"/>
    </row>
    <row r="318" spans="1:94" x14ac:dyDescent="0.2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241"/>
      <c r="BL318" s="167"/>
      <c r="BM318" s="167"/>
      <c r="BN318" s="167"/>
      <c r="BO318" s="167"/>
      <c r="BP318" s="167"/>
      <c r="BQ318" s="167"/>
      <c r="BR318" s="167"/>
      <c r="BS318" s="167"/>
      <c r="BT318" s="167"/>
      <c r="BU318" s="167"/>
      <c r="BV318" s="167"/>
      <c r="BW318" s="167"/>
      <c r="BX318" s="167"/>
      <c r="BY318" s="167"/>
      <c r="BZ318" s="167"/>
      <c r="CA318" s="167"/>
      <c r="CB318" s="167"/>
      <c r="CC318" s="167"/>
      <c r="CD318" s="167"/>
      <c r="CE318" s="167"/>
      <c r="CF318" s="167"/>
      <c r="CG318" s="167"/>
      <c r="CH318" s="167"/>
      <c r="CI318" s="167"/>
      <c r="CJ318" s="167"/>
      <c r="CK318" s="167"/>
      <c r="CL318" s="167"/>
      <c r="CM318" s="167"/>
      <c r="CN318" s="167"/>
      <c r="CO318" s="167"/>
      <c r="CP318" s="167"/>
    </row>
    <row r="319" spans="1:94" x14ac:dyDescent="0.2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241"/>
      <c r="BL319" s="167"/>
      <c r="BM319" s="167"/>
      <c r="BN319" s="167"/>
      <c r="BO319" s="167"/>
      <c r="BP319" s="167"/>
      <c r="BQ319" s="167"/>
      <c r="BR319" s="167"/>
      <c r="BS319" s="167"/>
      <c r="BT319" s="167"/>
      <c r="BU319" s="167"/>
      <c r="BV319" s="167"/>
      <c r="BW319" s="167"/>
      <c r="BX319" s="167"/>
      <c r="BY319" s="167"/>
      <c r="BZ319" s="167"/>
      <c r="CA319" s="167"/>
      <c r="CB319" s="167"/>
      <c r="CC319" s="167"/>
      <c r="CD319" s="167"/>
      <c r="CE319" s="167"/>
      <c r="CF319" s="167"/>
      <c r="CG319" s="167"/>
      <c r="CH319" s="167"/>
      <c r="CI319" s="167"/>
      <c r="CJ319" s="167"/>
      <c r="CK319" s="167"/>
      <c r="CL319" s="167"/>
      <c r="CM319" s="167"/>
      <c r="CN319" s="167"/>
      <c r="CO319" s="167"/>
      <c r="CP319" s="167"/>
    </row>
    <row r="320" spans="1:94" x14ac:dyDescent="0.2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241"/>
      <c r="BL320" s="167"/>
      <c r="BM320" s="167"/>
      <c r="BN320" s="167"/>
      <c r="BO320" s="167"/>
      <c r="BP320" s="167"/>
      <c r="BQ320" s="167"/>
      <c r="BR320" s="167"/>
      <c r="BS320" s="167"/>
      <c r="BT320" s="167"/>
      <c r="BU320" s="167"/>
      <c r="BV320" s="167"/>
      <c r="BW320" s="167"/>
      <c r="BX320" s="167"/>
      <c r="BY320" s="167"/>
      <c r="BZ320" s="167"/>
      <c r="CA320" s="167"/>
      <c r="CB320" s="167"/>
      <c r="CC320" s="167"/>
      <c r="CD320" s="167"/>
      <c r="CE320" s="167"/>
      <c r="CF320" s="167"/>
      <c r="CG320" s="167"/>
      <c r="CH320" s="167"/>
      <c r="CI320" s="167"/>
      <c r="CJ320" s="167"/>
      <c r="CK320" s="167"/>
      <c r="CL320" s="167"/>
      <c r="CM320" s="167"/>
      <c r="CN320" s="167"/>
      <c r="CO320" s="167"/>
      <c r="CP320" s="167"/>
    </row>
    <row r="321" spans="1:94" x14ac:dyDescent="0.2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241"/>
      <c r="BL321" s="167"/>
      <c r="BM321" s="167"/>
      <c r="BN321" s="167"/>
      <c r="BO321" s="167"/>
      <c r="BP321" s="167"/>
      <c r="BQ321" s="167"/>
      <c r="BR321" s="167"/>
      <c r="BS321" s="167"/>
      <c r="BT321" s="167"/>
      <c r="BU321" s="167"/>
      <c r="BV321" s="167"/>
      <c r="BW321" s="167"/>
      <c r="BX321" s="167"/>
      <c r="BY321" s="167"/>
      <c r="BZ321" s="167"/>
      <c r="CA321" s="167"/>
      <c r="CB321" s="167"/>
      <c r="CC321" s="167"/>
      <c r="CD321" s="167"/>
      <c r="CE321" s="167"/>
      <c r="CF321" s="167"/>
      <c r="CG321" s="167"/>
      <c r="CH321" s="167"/>
      <c r="CI321" s="167"/>
      <c r="CJ321" s="167"/>
      <c r="CK321" s="167"/>
      <c r="CL321" s="167"/>
      <c r="CM321" s="167"/>
      <c r="CN321" s="167"/>
      <c r="CO321" s="167"/>
      <c r="CP321" s="167"/>
    </row>
    <row r="322" spans="1:94" x14ac:dyDescent="0.2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241"/>
      <c r="BL322" s="167"/>
      <c r="BM322" s="167"/>
      <c r="BN322" s="167"/>
      <c r="BO322" s="167"/>
      <c r="BP322" s="167"/>
      <c r="BQ322" s="167"/>
      <c r="BR322" s="167"/>
      <c r="BS322" s="167"/>
      <c r="BT322" s="167"/>
      <c r="BU322" s="167"/>
      <c r="BV322" s="167"/>
      <c r="BW322" s="167"/>
      <c r="BX322" s="167"/>
      <c r="BY322" s="167"/>
      <c r="BZ322" s="167"/>
      <c r="CA322" s="167"/>
      <c r="CB322" s="167"/>
      <c r="CC322" s="167"/>
      <c r="CD322" s="167"/>
      <c r="CE322" s="167"/>
      <c r="CF322" s="167"/>
      <c r="CG322" s="167"/>
      <c r="CH322" s="167"/>
      <c r="CI322" s="167"/>
      <c r="CJ322" s="167"/>
      <c r="CK322" s="167"/>
      <c r="CL322" s="167"/>
      <c r="CM322" s="167"/>
      <c r="CN322" s="167"/>
      <c r="CO322" s="167"/>
      <c r="CP322" s="167"/>
    </row>
    <row r="323" spans="1:94" x14ac:dyDescent="0.2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241"/>
      <c r="BL323" s="167"/>
      <c r="BM323" s="167"/>
      <c r="BN323" s="167"/>
      <c r="BO323" s="167"/>
      <c r="BP323" s="167"/>
      <c r="BQ323" s="167"/>
      <c r="BR323" s="167"/>
      <c r="BS323" s="167"/>
      <c r="BT323" s="167"/>
      <c r="BU323" s="167"/>
      <c r="BV323" s="167"/>
      <c r="BW323" s="167"/>
      <c r="BX323" s="167"/>
      <c r="BY323" s="167"/>
      <c r="BZ323" s="167"/>
      <c r="CA323" s="167"/>
      <c r="CB323" s="167"/>
      <c r="CC323" s="167"/>
      <c r="CD323" s="167"/>
      <c r="CE323" s="167"/>
      <c r="CF323" s="167"/>
      <c r="CG323" s="167"/>
      <c r="CH323" s="167"/>
      <c r="CI323" s="167"/>
      <c r="CJ323" s="167"/>
      <c r="CK323" s="167"/>
      <c r="CL323" s="167"/>
      <c r="CM323" s="167"/>
      <c r="CN323" s="167"/>
      <c r="CO323" s="167"/>
      <c r="CP323" s="167"/>
    </row>
    <row r="324" spans="1:94" x14ac:dyDescent="0.2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241"/>
      <c r="BL324" s="167"/>
      <c r="BM324" s="167"/>
      <c r="BN324" s="167"/>
      <c r="BO324" s="167"/>
      <c r="BP324" s="167"/>
      <c r="BQ324" s="167"/>
      <c r="BR324" s="167"/>
      <c r="BS324" s="167"/>
      <c r="BT324" s="167"/>
      <c r="BU324" s="167"/>
      <c r="BV324" s="167"/>
      <c r="BW324" s="167"/>
      <c r="BX324" s="167"/>
      <c r="BY324" s="167"/>
      <c r="BZ324" s="167"/>
      <c r="CA324" s="167"/>
      <c r="CB324" s="167"/>
      <c r="CC324" s="167"/>
      <c r="CD324" s="167"/>
      <c r="CE324" s="167"/>
      <c r="CF324" s="167"/>
      <c r="CG324" s="167"/>
      <c r="CH324" s="167"/>
      <c r="CI324" s="167"/>
      <c r="CJ324" s="167"/>
      <c r="CK324" s="167"/>
      <c r="CL324" s="167"/>
      <c r="CM324" s="167"/>
      <c r="CN324" s="167"/>
      <c r="CO324" s="167"/>
      <c r="CP324" s="167"/>
    </row>
    <row r="325" spans="1:94" x14ac:dyDescent="0.2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241"/>
      <c r="BL325" s="167"/>
      <c r="BM325" s="167"/>
      <c r="BN325" s="167"/>
      <c r="BO325" s="167"/>
      <c r="BP325" s="167"/>
      <c r="BQ325" s="167"/>
      <c r="BR325" s="167"/>
      <c r="BS325" s="167"/>
      <c r="BT325" s="167"/>
      <c r="BU325" s="167"/>
      <c r="BV325" s="167"/>
      <c r="BW325" s="167"/>
      <c r="BX325" s="167"/>
      <c r="BY325" s="167"/>
      <c r="BZ325" s="167"/>
      <c r="CA325" s="167"/>
      <c r="CB325" s="167"/>
      <c r="CC325" s="167"/>
      <c r="CD325" s="167"/>
      <c r="CE325" s="167"/>
      <c r="CF325" s="167"/>
      <c r="CG325" s="167"/>
      <c r="CH325" s="167"/>
      <c r="CI325" s="167"/>
      <c r="CJ325" s="167"/>
      <c r="CK325" s="167"/>
      <c r="CL325" s="167"/>
      <c r="CM325" s="167"/>
      <c r="CN325" s="167"/>
      <c r="CO325" s="167"/>
      <c r="CP325" s="167"/>
    </row>
    <row r="326" spans="1:94" x14ac:dyDescent="0.2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241"/>
      <c r="BL326" s="167"/>
      <c r="BM326" s="167"/>
      <c r="BN326" s="167"/>
      <c r="BO326" s="167"/>
      <c r="BP326" s="167"/>
      <c r="BQ326" s="167"/>
      <c r="BR326" s="167"/>
      <c r="BS326" s="167"/>
      <c r="BT326" s="167"/>
      <c r="BU326" s="167"/>
      <c r="BV326" s="167"/>
      <c r="BW326" s="167"/>
      <c r="BX326" s="167"/>
      <c r="BY326" s="167"/>
      <c r="BZ326" s="167"/>
      <c r="CA326" s="167"/>
      <c r="CB326" s="167"/>
      <c r="CC326" s="167"/>
      <c r="CD326" s="167"/>
      <c r="CE326" s="167"/>
      <c r="CF326" s="167"/>
      <c r="CG326" s="167"/>
      <c r="CH326" s="167"/>
      <c r="CI326" s="167"/>
      <c r="CJ326" s="167"/>
      <c r="CK326" s="167"/>
      <c r="CL326" s="167"/>
      <c r="CM326" s="167"/>
      <c r="CN326" s="167"/>
      <c r="CO326" s="167"/>
      <c r="CP326" s="167"/>
    </row>
    <row r="327" spans="1:94" x14ac:dyDescent="0.2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241"/>
      <c r="BL327" s="167"/>
      <c r="BM327" s="167"/>
      <c r="BN327" s="167"/>
      <c r="BO327" s="167"/>
      <c r="BP327" s="167"/>
      <c r="BQ327" s="167"/>
      <c r="BR327" s="167"/>
      <c r="BS327" s="167"/>
      <c r="BT327" s="167"/>
      <c r="BU327" s="167"/>
      <c r="BV327" s="167"/>
      <c r="BW327" s="167"/>
      <c r="BX327" s="167"/>
      <c r="BY327" s="167"/>
      <c r="BZ327" s="167"/>
      <c r="CA327" s="167"/>
      <c r="CB327" s="167"/>
      <c r="CC327" s="167"/>
      <c r="CD327" s="167"/>
      <c r="CE327" s="167"/>
      <c r="CF327" s="167"/>
      <c r="CG327" s="167"/>
      <c r="CH327" s="167"/>
      <c r="CI327" s="167"/>
      <c r="CJ327" s="167"/>
      <c r="CK327" s="167"/>
      <c r="CL327" s="167"/>
      <c r="CM327" s="167"/>
      <c r="CN327" s="167"/>
      <c r="CO327" s="167"/>
      <c r="CP327" s="167"/>
    </row>
    <row r="328" spans="1:94" x14ac:dyDescent="0.2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241"/>
      <c r="BL328" s="167"/>
      <c r="BM328" s="167"/>
      <c r="BN328" s="167"/>
      <c r="BO328" s="167"/>
      <c r="BP328" s="167"/>
      <c r="BQ328" s="167"/>
      <c r="BR328" s="167"/>
      <c r="BS328" s="167"/>
      <c r="BT328" s="167"/>
      <c r="BU328" s="167"/>
      <c r="BV328" s="167"/>
      <c r="BW328" s="167"/>
      <c r="BX328" s="167"/>
      <c r="BY328" s="167"/>
      <c r="BZ328" s="167"/>
      <c r="CA328" s="167"/>
      <c r="CB328" s="167"/>
      <c r="CC328" s="167"/>
      <c r="CD328" s="167"/>
      <c r="CE328" s="167"/>
      <c r="CF328" s="167"/>
      <c r="CG328" s="167"/>
      <c r="CH328" s="167"/>
      <c r="CI328" s="167"/>
      <c r="CJ328" s="167"/>
      <c r="CK328" s="167"/>
      <c r="CL328" s="167"/>
      <c r="CM328" s="167"/>
      <c r="CN328" s="167"/>
      <c r="CO328" s="167"/>
      <c r="CP328" s="167"/>
    </row>
    <row r="329" spans="1:94" x14ac:dyDescent="0.2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241"/>
      <c r="BL329" s="167"/>
      <c r="BM329" s="167"/>
      <c r="BN329" s="167"/>
      <c r="BO329" s="167"/>
      <c r="BP329" s="167"/>
      <c r="BQ329" s="167"/>
      <c r="BR329" s="204"/>
      <c r="BS329" s="167"/>
      <c r="BT329" s="167"/>
      <c r="BU329" s="167"/>
      <c r="BV329" s="167"/>
      <c r="BW329" s="167"/>
      <c r="BX329" s="167"/>
      <c r="BY329" s="167"/>
      <c r="BZ329" s="167"/>
      <c r="CA329" s="167"/>
      <c r="CB329" s="167"/>
      <c r="CC329" s="167"/>
      <c r="CD329" s="167"/>
      <c r="CE329" s="167"/>
      <c r="CF329" s="167"/>
      <c r="CG329" s="167"/>
      <c r="CH329" s="167"/>
      <c r="CI329" s="167"/>
      <c r="CJ329" s="167"/>
      <c r="CK329" s="167"/>
      <c r="CL329" s="167"/>
      <c r="CM329" s="167"/>
      <c r="CN329" s="167"/>
      <c r="CO329" s="167"/>
      <c r="CP329" s="167"/>
    </row>
    <row r="330" spans="1:94" x14ac:dyDescent="0.2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241"/>
      <c r="BL330" s="167"/>
      <c r="BM330" s="167"/>
      <c r="BN330" s="167"/>
      <c r="BO330" s="167"/>
      <c r="BP330" s="167"/>
      <c r="BQ330" s="167"/>
      <c r="BR330" s="167"/>
      <c r="BS330" s="167"/>
      <c r="BT330" s="167"/>
      <c r="BU330" s="167"/>
      <c r="BV330" s="167"/>
      <c r="BW330" s="167"/>
      <c r="BX330" s="167"/>
      <c r="BY330" s="167"/>
      <c r="BZ330" s="167"/>
      <c r="CA330" s="167"/>
      <c r="CB330" s="167"/>
      <c r="CC330" s="167"/>
      <c r="CD330" s="167"/>
      <c r="CE330" s="167"/>
      <c r="CF330" s="167"/>
      <c r="CG330" s="167"/>
      <c r="CH330" s="167"/>
      <c r="CI330" s="167"/>
      <c r="CJ330" s="167"/>
      <c r="CK330" s="167"/>
      <c r="CL330" s="167"/>
      <c r="CM330" s="167"/>
      <c r="CN330" s="167"/>
      <c r="CO330" s="167"/>
      <c r="CP330" s="167"/>
    </row>
    <row r="331" spans="1:94" ht="13.9" customHeight="1" x14ac:dyDescent="0.2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241"/>
      <c r="BL331" s="167"/>
      <c r="BM331" s="167"/>
      <c r="BN331" s="167"/>
      <c r="BO331" s="167"/>
      <c r="BP331" s="167"/>
      <c r="BQ331" s="167"/>
      <c r="BR331" s="167"/>
      <c r="BS331" s="167"/>
      <c r="BT331" s="167"/>
      <c r="BU331" s="167"/>
      <c r="BV331" s="167"/>
      <c r="BW331" s="167"/>
      <c r="BX331" s="167"/>
      <c r="BY331" s="167"/>
      <c r="BZ331" s="167"/>
      <c r="CA331" s="167"/>
      <c r="CB331" s="167"/>
      <c r="CC331" s="167"/>
      <c r="CD331" s="167"/>
      <c r="CE331" s="167"/>
      <c r="CF331" s="167"/>
      <c r="CG331" s="167"/>
      <c r="CH331" s="167"/>
      <c r="CI331" s="167"/>
      <c r="CJ331" s="167"/>
      <c r="CK331" s="167"/>
      <c r="CL331" s="167"/>
      <c r="CM331" s="167"/>
      <c r="CN331" s="167"/>
      <c r="CO331" s="167"/>
      <c r="CP331" s="167"/>
    </row>
    <row r="332" spans="1:94" x14ac:dyDescent="0.2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241"/>
      <c r="BL332" s="167"/>
      <c r="BM332" s="167"/>
      <c r="BN332" s="167"/>
      <c r="BO332" s="167"/>
      <c r="BP332" s="167"/>
      <c r="BQ332" s="167"/>
      <c r="BR332" s="167"/>
      <c r="BS332" s="167"/>
      <c r="BT332" s="167"/>
      <c r="BU332" s="167"/>
      <c r="BV332" s="167"/>
      <c r="BW332" s="167"/>
      <c r="BX332" s="167"/>
      <c r="BY332" s="167"/>
      <c r="BZ332" s="167"/>
      <c r="CA332" s="167"/>
      <c r="CB332" s="167"/>
      <c r="CC332" s="167"/>
      <c r="CD332" s="167"/>
      <c r="CE332" s="167"/>
      <c r="CF332" s="167"/>
      <c r="CG332" s="167"/>
      <c r="CH332" s="167"/>
      <c r="CI332" s="167"/>
      <c r="CJ332" s="167"/>
      <c r="CK332" s="167"/>
      <c r="CL332" s="167"/>
      <c r="CM332" s="167"/>
      <c r="CN332" s="167"/>
      <c r="CO332" s="167"/>
      <c r="CP332" s="167"/>
    </row>
    <row r="333" spans="1:94" x14ac:dyDescent="0.2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241"/>
      <c r="BL333" s="167"/>
      <c r="BM333" s="167"/>
      <c r="BN333" s="167"/>
      <c r="BO333" s="167"/>
      <c r="BP333" s="167"/>
      <c r="BQ333" s="167"/>
      <c r="BR333" s="167"/>
      <c r="BS333" s="167"/>
      <c r="BT333" s="167"/>
      <c r="BU333" s="167"/>
      <c r="BV333" s="167"/>
      <c r="BW333" s="167"/>
      <c r="BX333" s="167"/>
      <c r="BY333" s="167"/>
      <c r="BZ333" s="167"/>
      <c r="CA333" s="167"/>
      <c r="CB333" s="167"/>
      <c r="CC333" s="167"/>
      <c r="CD333" s="167"/>
      <c r="CE333" s="167"/>
      <c r="CF333" s="167"/>
      <c r="CG333" s="167"/>
      <c r="CH333" s="167"/>
      <c r="CI333" s="167"/>
      <c r="CJ333" s="167"/>
      <c r="CK333" s="167"/>
      <c r="CL333" s="167"/>
      <c r="CM333" s="167"/>
      <c r="CN333" s="167"/>
      <c r="CO333" s="167"/>
      <c r="CP333" s="167"/>
    </row>
    <row r="334" spans="1:94" ht="11.25" customHeight="1" x14ac:dyDescent="0.2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241"/>
      <c r="BL334" s="167"/>
      <c r="BM334" s="167"/>
      <c r="BN334" s="167"/>
      <c r="BO334" s="167"/>
      <c r="BP334" s="167"/>
      <c r="BQ334" s="167"/>
      <c r="BR334" s="167"/>
      <c r="BS334" s="167"/>
      <c r="BT334" s="167"/>
      <c r="BU334" s="167"/>
      <c r="BV334" s="167"/>
      <c r="BW334" s="167"/>
      <c r="BX334" s="167"/>
      <c r="BY334" s="167"/>
      <c r="BZ334" s="167"/>
      <c r="CA334" s="167"/>
      <c r="CB334" s="167"/>
      <c r="CC334" s="167"/>
      <c r="CD334" s="167"/>
      <c r="CE334" s="167"/>
      <c r="CF334" s="167"/>
      <c r="CG334" s="167"/>
      <c r="CH334" s="167"/>
      <c r="CI334" s="167"/>
      <c r="CJ334" s="167"/>
      <c r="CK334" s="167"/>
      <c r="CL334" s="167"/>
      <c r="CM334" s="167"/>
      <c r="CN334" s="167"/>
      <c r="CO334" s="167"/>
      <c r="CP334" s="167"/>
    </row>
    <row r="335" spans="1:94" x14ac:dyDescent="0.2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241"/>
      <c r="BL335" s="167"/>
      <c r="BM335" s="167"/>
      <c r="BN335" s="167"/>
      <c r="BO335" s="167"/>
      <c r="BP335" s="167"/>
      <c r="BQ335" s="167"/>
      <c r="BR335" s="167"/>
      <c r="BS335" s="167"/>
      <c r="BT335" s="167"/>
      <c r="BU335" s="167"/>
      <c r="BV335" s="167"/>
      <c r="BW335" s="167"/>
      <c r="BX335" s="167"/>
      <c r="BY335" s="167"/>
      <c r="BZ335" s="167"/>
      <c r="CA335" s="167"/>
      <c r="CB335" s="167"/>
      <c r="CC335" s="167"/>
      <c r="CD335" s="167"/>
      <c r="CE335" s="167"/>
      <c r="CF335" s="167"/>
      <c r="CG335" s="167"/>
      <c r="CH335" s="167"/>
      <c r="CI335" s="167"/>
      <c r="CJ335" s="167"/>
      <c r="CK335" s="167"/>
      <c r="CL335" s="167"/>
      <c r="CM335" s="167"/>
      <c r="CN335" s="167"/>
      <c r="CO335" s="167"/>
      <c r="CP335" s="167"/>
    </row>
    <row r="336" spans="1:94" x14ac:dyDescent="0.2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241"/>
      <c r="BL336" s="167"/>
      <c r="BM336" s="167"/>
      <c r="BN336" s="167"/>
      <c r="BO336" s="167"/>
      <c r="BP336" s="167"/>
      <c r="BQ336" s="167"/>
      <c r="BR336" s="167"/>
      <c r="BS336" s="167"/>
      <c r="BT336" s="167"/>
      <c r="BU336" s="167"/>
      <c r="BV336" s="167"/>
      <c r="BW336" s="167"/>
      <c r="BX336" s="167"/>
      <c r="BY336" s="167"/>
      <c r="BZ336" s="167"/>
      <c r="CA336" s="167"/>
      <c r="CB336" s="167"/>
      <c r="CC336" s="167"/>
      <c r="CD336" s="167"/>
      <c r="CE336" s="167"/>
      <c r="CF336" s="167"/>
      <c r="CG336" s="167"/>
      <c r="CH336" s="167"/>
      <c r="CI336" s="167"/>
      <c r="CJ336" s="167"/>
      <c r="CK336" s="167"/>
      <c r="CL336" s="167"/>
      <c r="CM336" s="167"/>
      <c r="CN336" s="167"/>
      <c r="CO336" s="167"/>
      <c r="CP336" s="167"/>
    </row>
    <row r="337" spans="1:94" x14ac:dyDescent="0.2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241"/>
      <c r="BL337" s="167"/>
      <c r="BM337" s="167"/>
      <c r="BN337" s="167"/>
      <c r="BO337" s="167"/>
      <c r="BP337" s="167"/>
      <c r="BQ337" s="167"/>
      <c r="BR337" s="167"/>
      <c r="BS337" s="167"/>
      <c r="BT337" s="167"/>
      <c r="BU337" s="167"/>
      <c r="BV337" s="167"/>
      <c r="BW337" s="167"/>
      <c r="BX337" s="167"/>
      <c r="BY337" s="167"/>
      <c r="BZ337" s="167"/>
      <c r="CA337" s="167"/>
      <c r="CB337" s="167"/>
      <c r="CC337" s="167"/>
      <c r="CD337" s="167"/>
      <c r="CE337" s="167"/>
      <c r="CF337" s="167"/>
      <c r="CG337" s="167"/>
      <c r="CH337" s="167"/>
      <c r="CI337" s="167"/>
      <c r="CJ337" s="167"/>
      <c r="CK337" s="167"/>
      <c r="CL337" s="167"/>
      <c r="CM337" s="167"/>
      <c r="CN337" s="167"/>
      <c r="CO337" s="167"/>
      <c r="CP337" s="167"/>
    </row>
    <row r="338" spans="1:94" x14ac:dyDescent="0.2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241"/>
      <c r="BL338" s="167"/>
      <c r="BM338" s="167"/>
      <c r="BN338" s="167"/>
      <c r="BO338" s="167"/>
      <c r="BP338" s="167"/>
      <c r="BQ338" s="167"/>
      <c r="BR338" s="167"/>
      <c r="BS338" s="167"/>
      <c r="BT338" s="167"/>
      <c r="BU338" s="167"/>
      <c r="BV338" s="167"/>
      <c r="BW338" s="167"/>
      <c r="BX338" s="167"/>
      <c r="BY338" s="167"/>
      <c r="BZ338" s="167"/>
      <c r="CA338" s="167"/>
      <c r="CB338" s="167"/>
      <c r="CC338" s="167"/>
      <c r="CD338" s="167"/>
      <c r="CE338" s="167"/>
      <c r="CF338" s="167"/>
      <c r="CG338" s="167"/>
      <c r="CH338" s="167"/>
      <c r="CI338" s="167"/>
      <c r="CJ338" s="167"/>
      <c r="CK338" s="167"/>
      <c r="CL338" s="167"/>
      <c r="CM338" s="167"/>
      <c r="CN338" s="167"/>
      <c r="CO338" s="167"/>
      <c r="CP338" s="167"/>
    </row>
    <row r="339" spans="1:94" x14ac:dyDescent="0.2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241"/>
      <c r="BL339" s="167"/>
      <c r="BM339" s="167"/>
      <c r="BN339" s="167"/>
      <c r="BO339" s="167"/>
      <c r="BP339" s="167"/>
      <c r="BQ339" s="167"/>
      <c r="BR339" s="167"/>
      <c r="BS339" s="167"/>
      <c r="BT339" s="167"/>
      <c r="BU339" s="167"/>
      <c r="BV339" s="167"/>
      <c r="BW339" s="167"/>
      <c r="BX339" s="167"/>
      <c r="BY339" s="167"/>
      <c r="BZ339" s="167"/>
      <c r="CA339" s="167"/>
      <c r="CB339" s="167"/>
      <c r="CC339" s="167"/>
      <c r="CD339" s="167"/>
      <c r="CE339" s="167"/>
      <c r="CF339" s="167"/>
      <c r="CG339" s="167"/>
      <c r="CH339" s="167"/>
      <c r="CI339" s="167"/>
      <c r="CJ339" s="167"/>
      <c r="CK339" s="167"/>
      <c r="CL339" s="167"/>
      <c r="CM339" s="167"/>
      <c r="CN339" s="167"/>
      <c r="CO339" s="167"/>
      <c r="CP339" s="167"/>
    </row>
    <row r="340" spans="1:94" ht="14.25" customHeight="1" x14ac:dyDescent="0.2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241"/>
      <c r="BL340" s="167"/>
      <c r="BM340" s="167"/>
      <c r="BN340" s="167"/>
      <c r="BO340" s="167"/>
      <c r="BP340" s="167"/>
      <c r="BQ340" s="167"/>
      <c r="BR340" s="167"/>
      <c r="BS340" s="167"/>
      <c r="BT340" s="167"/>
      <c r="BU340" s="167"/>
      <c r="BV340" s="167"/>
      <c r="BW340" s="167"/>
      <c r="BX340" s="167"/>
      <c r="BY340" s="167"/>
      <c r="BZ340" s="167"/>
      <c r="CA340" s="167"/>
      <c r="CB340" s="167"/>
      <c r="CC340" s="167"/>
      <c r="CD340" s="167"/>
      <c r="CE340" s="167"/>
      <c r="CF340" s="167"/>
      <c r="CG340" s="167"/>
      <c r="CH340" s="167"/>
      <c r="CI340" s="167"/>
      <c r="CJ340" s="167"/>
      <c r="CK340" s="167"/>
      <c r="CL340" s="167"/>
      <c r="CM340" s="167"/>
      <c r="CN340" s="167"/>
      <c r="CO340" s="167"/>
      <c r="CP340" s="167"/>
    </row>
    <row r="341" spans="1:94" x14ac:dyDescent="0.2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241"/>
      <c r="BL341" s="167"/>
      <c r="BM341" s="167"/>
      <c r="BN341" s="167"/>
      <c r="BO341" s="167"/>
      <c r="BP341" s="167"/>
      <c r="BQ341" s="167"/>
      <c r="BR341" s="169" t="s">
        <v>18</v>
      </c>
      <c r="BS341" s="167"/>
      <c r="BT341" s="167"/>
      <c r="BU341" s="167"/>
      <c r="BV341" s="167"/>
      <c r="BW341" s="167"/>
      <c r="BX341" s="167"/>
      <c r="BY341" s="167"/>
      <c r="BZ341" s="167"/>
      <c r="CA341" s="167"/>
      <c r="CB341" s="167"/>
      <c r="CC341" s="167"/>
      <c r="CD341" s="167"/>
      <c r="CE341" s="167"/>
      <c r="CF341" s="167"/>
      <c r="CG341" s="167"/>
      <c r="CH341" s="167"/>
      <c r="CI341" s="167"/>
      <c r="CJ341" s="167"/>
      <c r="CK341" s="167"/>
      <c r="CL341" s="167"/>
      <c r="CM341" s="167"/>
      <c r="CN341" s="167"/>
      <c r="CO341" s="167"/>
      <c r="CP341" s="167"/>
    </row>
    <row r="342" spans="1:94" x14ac:dyDescent="0.2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241"/>
      <c r="BL342" s="167"/>
      <c r="BM342" s="167"/>
      <c r="BN342" s="167"/>
      <c r="BO342" s="167"/>
      <c r="BP342" s="167"/>
      <c r="BQ342" s="167"/>
      <c r="BR342" s="169" t="s">
        <v>18</v>
      </c>
      <c r="BS342" s="167"/>
      <c r="BT342" s="167"/>
      <c r="BU342" s="167"/>
      <c r="BV342" s="167"/>
      <c r="BW342" s="167"/>
      <c r="BX342" s="167"/>
      <c r="BY342" s="167"/>
      <c r="BZ342" s="167"/>
      <c r="CA342" s="167"/>
      <c r="CB342" s="167"/>
      <c r="CC342" s="167"/>
      <c r="CD342" s="167"/>
      <c r="CE342" s="167"/>
      <c r="CF342" s="167"/>
      <c r="CG342" s="167"/>
      <c r="CH342" s="167"/>
      <c r="CI342" s="167"/>
      <c r="CJ342" s="167"/>
      <c r="CK342" s="167"/>
      <c r="CL342" s="167"/>
      <c r="CM342" s="167"/>
      <c r="CN342" s="167"/>
      <c r="CO342" s="167"/>
      <c r="CP342" s="167"/>
    </row>
    <row r="343" spans="1:94" ht="4.1500000000000004" customHeight="1" x14ac:dyDescent="0.2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241"/>
      <c r="BL343" s="167"/>
      <c r="BM343" s="167"/>
      <c r="BN343" s="167"/>
      <c r="BO343" s="167"/>
      <c r="BP343" s="167"/>
      <c r="BQ343" s="167"/>
      <c r="BR343" s="169" t="s">
        <v>18</v>
      </c>
      <c r="BS343" s="167"/>
      <c r="BT343" s="167"/>
      <c r="BU343" s="167"/>
      <c r="BV343" s="167"/>
      <c r="BW343" s="167"/>
      <c r="BX343" s="167"/>
      <c r="BY343" s="167"/>
      <c r="BZ343" s="167"/>
      <c r="CA343" s="167"/>
      <c r="CB343" s="167"/>
      <c r="CC343" s="167"/>
      <c r="CD343" s="167"/>
      <c r="CE343" s="167"/>
      <c r="CF343" s="167"/>
      <c r="CG343" s="167"/>
      <c r="CH343" s="167"/>
      <c r="CI343" s="167"/>
      <c r="CJ343" s="167"/>
      <c r="CK343" s="167"/>
      <c r="CL343" s="167"/>
      <c r="CM343" s="167"/>
      <c r="CN343" s="167"/>
      <c r="CO343" s="167"/>
      <c r="CP343" s="167"/>
    </row>
    <row r="344" spans="1:94" x14ac:dyDescent="0.2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241"/>
      <c r="BL344" s="167"/>
      <c r="BM344" s="167"/>
      <c r="BN344" s="167"/>
      <c r="BO344" s="167"/>
      <c r="BP344" s="167"/>
      <c r="BQ344" s="167"/>
      <c r="BR344" s="169" t="s">
        <v>18</v>
      </c>
      <c r="BS344" s="167"/>
      <c r="BT344" s="167"/>
      <c r="BU344" s="167"/>
      <c r="BV344" s="167"/>
      <c r="BW344" s="167"/>
      <c r="BX344" s="167"/>
      <c r="BY344" s="167"/>
      <c r="BZ344" s="167"/>
      <c r="CA344" s="167"/>
      <c r="CB344" s="167"/>
      <c r="CC344" s="167"/>
      <c r="CD344" s="167"/>
      <c r="CE344" s="167"/>
      <c r="CF344" s="167"/>
      <c r="CG344" s="167"/>
      <c r="CH344" s="167"/>
      <c r="CI344" s="167"/>
      <c r="CJ344" s="167"/>
      <c r="CK344" s="167"/>
      <c r="CL344" s="167"/>
      <c r="CM344" s="167"/>
      <c r="CN344" s="167"/>
      <c r="CO344" s="167"/>
      <c r="CP344" s="167"/>
    </row>
    <row r="345" spans="1:94" ht="14.45" customHeight="1" x14ac:dyDescent="0.2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241"/>
      <c r="BL345" s="167"/>
      <c r="BM345" s="167"/>
      <c r="BN345" s="167"/>
      <c r="BO345" s="167"/>
      <c r="BP345" s="167"/>
      <c r="BQ345" s="167"/>
      <c r="BR345" s="169" t="s">
        <v>18</v>
      </c>
      <c r="BS345" s="167"/>
      <c r="BT345" s="167"/>
      <c r="BU345" s="167"/>
      <c r="BV345" s="167"/>
      <c r="BW345" s="167"/>
      <c r="BX345" s="167"/>
      <c r="BY345" s="167"/>
      <c r="BZ345" s="167"/>
      <c r="CA345" s="167"/>
      <c r="CB345" s="167"/>
      <c r="CC345" s="167"/>
      <c r="CD345" s="167"/>
      <c r="CE345" s="167"/>
      <c r="CF345" s="167"/>
      <c r="CG345" s="167"/>
      <c r="CH345" s="167"/>
      <c r="CI345" s="167"/>
      <c r="CJ345" s="167"/>
      <c r="CK345" s="167"/>
      <c r="CL345" s="167"/>
      <c r="CM345" s="167"/>
      <c r="CN345" s="167"/>
      <c r="CO345" s="167"/>
      <c r="CP345" s="167"/>
    </row>
    <row r="346" spans="1:94" x14ac:dyDescent="0.2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241"/>
      <c r="BL346" s="167"/>
      <c r="BM346" s="167"/>
      <c r="BN346" s="167"/>
      <c r="BO346" s="167"/>
      <c r="BP346" s="167"/>
      <c r="BQ346" s="167"/>
      <c r="BR346" s="169" t="s">
        <v>18</v>
      </c>
      <c r="BS346" s="167"/>
      <c r="BT346" s="167"/>
      <c r="BU346" s="167"/>
      <c r="BV346" s="167"/>
      <c r="BW346" s="167"/>
      <c r="BX346" s="167"/>
      <c r="BY346" s="167"/>
      <c r="BZ346" s="167"/>
      <c r="CA346" s="167"/>
      <c r="CB346" s="167"/>
      <c r="CC346" s="167"/>
      <c r="CD346" s="167"/>
      <c r="CE346" s="167"/>
      <c r="CF346" s="167"/>
      <c r="CG346" s="167"/>
      <c r="CH346" s="167"/>
      <c r="CI346" s="167"/>
      <c r="CJ346" s="167"/>
      <c r="CK346" s="167"/>
      <c r="CL346" s="167"/>
      <c r="CM346" s="167"/>
      <c r="CN346" s="167"/>
      <c r="CO346" s="167"/>
      <c r="CP346" s="167"/>
    </row>
    <row r="347" spans="1:94" x14ac:dyDescent="0.2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241"/>
      <c r="BL347" s="167"/>
      <c r="BM347" s="167"/>
      <c r="BN347" s="167"/>
      <c r="BO347" s="167"/>
      <c r="BP347" s="167"/>
      <c r="BQ347" s="167"/>
      <c r="BR347" s="169" t="s">
        <v>18</v>
      </c>
      <c r="BS347" s="167"/>
      <c r="BT347" s="167"/>
      <c r="BU347" s="167"/>
      <c r="BV347" s="167"/>
      <c r="BW347" s="167"/>
      <c r="BX347" s="167"/>
      <c r="BY347" s="167"/>
      <c r="BZ347" s="167"/>
      <c r="CA347" s="167"/>
      <c r="CB347" s="167"/>
      <c r="CC347" s="167"/>
      <c r="CD347" s="167"/>
      <c r="CE347" s="167"/>
      <c r="CF347" s="167"/>
      <c r="CG347" s="167"/>
      <c r="CH347" s="167"/>
      <c r="CI347" s="167"/>
      <c r="CJ347" s="167"/>
      <c r="CK347" s="167"/>
      <c r="CL347" s="167"/>
      <c r="CM347" s="167"/>
      <c r="CN347" s="167"/>
      <c r="CO347" s="167"/>
      <c r="CP347" s="167"/>
    </row>
    <row r="348" spans="1:94" x14ac:dyDescent="0.2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241"/>
      <c r="BL348" s="167"/>
      <c r="BM348" s="167"/>
      <c r="BN348" s="167"/>
      <c r="BO348" s="167"/>
      <c r="BP348" s="167"/>
      <c r="BQ348" s="167"/>
      <c r="BR348" s="169" t="s">
        <v>18</v>
      </c>
      <c r="BS348" s="167"/>
      <c r="BT348" s="167"/>
      <c r="BU348" s="167"/>
      <c r="BV348" s="167"/>
      <c r="BW348" s="167"/>
      <c r="BX348" s="167"/>
      <c r="BY348" s="167"/>
      <c r="BZ348" s="167"/>
      <c r="CA348" s="167"/>
      <c r="CB348" s="167"/>
      <c r="CC348" s="167"/>
      <c r="CD348" s="167"/>
      <c r="CE348" s="167"/>
      <c r="CF348" s="167"/>
      <c r="CG348" s="167"/>
      <c r="CH348" s="167"/>
      <c r="CI348" s="167"/>
      <c r="CJ348" s="167"/>
      <c r="CK348" s="167"/>
      <c r="CL348" s="167"/>
      <c r="CM348" s="167"/>
      <c r="CN348" s="167"/>
      <c r="CO348" s="167"/>
      <c r="CP348" s="167"/>
    </row>
    <row r="349" spans="1:94" x14ac:dyDescent="0.2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241"/>
      <c r="BL349" s="167"/>
      <c r="BM349" s="167"/>
      <c r="BN349" s="167"/>
      <c r="BO349" s="167"/>
      <c r="BP349" s="167"/>
      <c r="BQ349" s="167"/>
      <c r="BR349" s="169" t="s">
        <v>18</v>
      </c>
      <c r="BS349" s="167"/>
      <c r="BT349" s="167"/>
      <c r="BU349" s="167"/>
      <c r="BV349" s="167"/>
      <c r="BW349" s="167"/>
      <c r="BX349" s="167"/>
      <c r="BY349" s="167"/>
      <c r="BZ349" s="167"/>
      <c r="CA349" s="167"/>
      <c r="CB349" s="167"/>
      <c r="CC349" s="167"/>
      <c r="CD349" s="167"/>
      <c r="CE349" s="167"/>
      <c r="CF349" s="167"/>
      <c r="CG349" s="167"/>
      <c r="CH349" s="167"/>
      <c r="CI349" s="167"/>
      <c r="CJ349" s="167"/>
      <c r="CK349" s="167"/>
      <c r="CL349" s="167"/>
      <c r="CM349" s="167"/>
      <c r="CN349" s="167"/>
      <c r="CO349" s="167"/>
      <c r="CP349" s="167"/>
    </row>
    <row r="350" spans="1:94" x14ac:dyDescent="0.2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241"/>
      <c r="BL350" s="167"/>
      <c r="BM350" s="167"/>
      <c r="BN350" s="167"/>
      <c r="BO350" s="167"/>
      <c r="BP350" s="167"/>
      <c r="BQ350" s="167"/>
      <c r="BR350" s="169" t="s">
        <v>18</v>
      </c>
      <c r="BS350" s="167"/>
      <c r="BT350" s="167"/>
      <c r="BU350" s="167"/>
      <c r="BV350" s="167"/>
      <c r="BW350" s="167"/>
      <c r="BX350" s="167"/>
      <c r="BY350" s="167"/>
      <c r="BZ350" s="167"/>
      <c r="CA350" s="167"/>
      <c r="CB350" s="167"/>
      <c r="CC350" s="167"/>
      <c r="CD350" s="167"/>
      <c r="CE350" s="167"/>
      <c r="CF350" s="167"/>
      <c r="CG350" s="167"/>
      <c r="CH350" s="167"/>
      <c r="CI350" s="167"/>
      <c r="CJ350" s="167"/>
      <c r="CK350" s="167"/>
      <c r="CL350" s="167"/>
      <c r="CM350" s="167"/>
      <c r="CN350" s="167"/>
      <c r="CO350" s="167"/>
      <c r="CP350" s="167"/>
    </row>
    <row r="351" spans="1:94" x14ac:dyDescent="0.2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241"/>
      <c r="BL351" s="167"/>
      <c r="BM351" s="167"/>
      <c r="BN351" s="167"/>
      <c r="BO351" s="167"/>
      <c r="BP351" s="167"/>
      <c r="BQ351" s="167"/>
      <c r="BR351" s="169" t="s">
        <v>18</v>
      </c>
      <c r="BS351" s="167"/>
      <c r="BT351" s="167"/>
      <c r="BU351" s="167"/>
      <c r="BV351" s="167"/>
      <c r="BW351" s="167"/>
      <c r="BX351" s="167"/>
      <c r="BY351" s="167"/>
      <c r="BZ351" s="167"/>
      <c r="CA351" s="167"/>
      <c r="CB351" s="167"/>
      <c r="CC351" s="167"/>
      <c r="CD351" s="167"/>
      <c r="CE351" s="167"/>
      <c r="CF351" s="167"/>
      <c r="CG351" s="167"/>
      <c r="CH351" s="167"/>
      <c r="CI351" s="167"/>
      <c r="CJ351" s="167"/>
      <c r="CK351" s="167"/>
      <c r="CL351" s="167"/>
      <c r="CM351" s="167"/>
      <c r="CN351" s="167"/>
      <c r="CO351" s="167"/>
      <c r="CP351" s="167"/>
    </row>
    <row r="352" spans="1:94" x14ac:dyDescent="0.2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241"/>
      <c r="BL352" s="167"/>
      <c r="BM352" s="167"/>
      <c r="BN352" s="167"/>
      <c r="BO352" s="167"/>
      <c r="BP352" s="167"/>
      <c r="BQ352" s="167"/>
      <c r="BR352" s="169" t="s">
        <v>18</v>
      </c>
      <c r="BS352" s="167"/>
      <c r="BT352" s="167"/>
      <c r="BU352" s="167"/>
      <c r="BV352" s="167"/>
      <c r="BW352" s="167"/>
      <c r="BX352" s="167"/>
      <c r="BY352" s="167"/>
      <c r="BZ352" s="167"/>
      <c r="CA352" s="167"/>
      <c r="CB352" s="167"/>
      <c r="CC352" s="167"/>
      <c r="CD352" s="167"/>
      <c r="CE352" s="167"/>
      <c r="CF352" s="167"/>
      <c r="CG352" s="167"/>
      <c r="CH352" s="167"/>
      <c r="CI352" s="167"/>
      <c r="CJ352" s="167"/>
      <c r="CK352" s="167"/>
      <c r="CL352" s="167"/>
      <c r="CM352" s="167"/>
      <c r="CN352" s="167"/>
      <c r="CO352" s="167"/>
      <c r="CP352" s="167"/>
    </row>
    <row r="353" spans="1:94" x14ac:dyDescent="0.2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241"/>
      <c r="BL353" s="167"/>
      <c r="BM353" s="167"/>
      <c r="BN353" s="167"/>
      <c r="BO353" s="167"/>
      <c r="BP353" s="167"/>
      <c r="BQ353" s="167"/>
      <c r="BR353" s="169" t="s">
        <v>18</v>
      </c>
      <c r="BS353" s="167"/>
      <c r="BT353" s="167"/>
      <c r="BU353" s="167"/>
      <c r="BV353" s="167"/>
      <c r="BW353" s="167"/>
      <c r="BX353" s="167"/>
      <c r="BY353" s="167"/>
      <c r="BZ353" s="167"/>
      <c r="CA353" s="167"/>
      <c r="CB353" s="167"/>
      <c r="CC353" s="167"/>
      <c r="CD353" s="167"/>
      <c r="CE353" s="167"/>
      <c r="CF353" s="167"/>
      <c r="CG353" s="167"/>
      <c r="CH353" s="167"/>
      <c r="CI353" s="167"/>
      <c r="CJ353" s="167"/>
      <c r="CK353" s="167"/>
      <c r="CL353" s="167"/>
      <c r="CM353" s="167"/>
      <c r="CN353" s="167"/>
      <c r="CO353" s="167"/>
      <c r="CP353" s="167"/>
    </row>
    <row r="354" spans="1:94" x14ac:dyDescent="0.2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241"/>
      <c r="BL354" s="167"/>
      <c r="BM354" s="167"/>
      <c r="BN354" s="167"/>
      <c r="BO354" s="167"/>
      <c r="BP354" s="167"/>
      <c r="BQ354" s="167"/>
      <c r="BR354" s="169" t="s">
        <v>18</v>
      </c>
      <c r="BS354" s="167"/>
      <c r="BT354" s="167"/>
      <c r="BU354" s="167"/>
      <c r="BV354" s="167"/>
      <c r="BW354" s="167"/>
      <c r="BX354" s="167"/>
      <c r="BY354" s="167"/>
      <c r="BZ354" s="167"/>
      <c r="CA354" s="167"/>
      <c r="CB354" s="167"/>
      <c r="CC354" s="167"/>
      <c r="CD354" s="167"/>
      <c r="CE354" s="167"/>
      <c r="CF354" s="167"/>
      <c r="CG354" s="167"/>
      <c r="CH354" s="167"/>
      <c r="CI354" s="167"/>
      <c r="CJ354" s="167"/>
      <c r="CK354" s="167"/>
      <c r="CL354" s="167"/>
      <c r="CM354" s="167"/>
      <c r="CN354" s="167"/>
      <c r="CO354" s="167"/>
      <c r="CP354" s="167"/>
    </row>
    <row r="355" spans="1:94" x14ac:dyDescent="0.2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241"/>
      <c r="BL355" s="167"/>
      <c r="BM355" s="167"/>
      <c r="BN355" s="167"/>
      <c r="BO355" s="167"/>
      <c r="BP355" s="167"/>
      <c r="BQ355" s="167"/>
      <c r="BR355" s="169" t="s">
        <v>18</v>
      </c>
      <c r="BS355" s="167"/>
      <c r="BT355" s="167"/>
      <c r="BU355" s="167"/>
      <c r="BV355" s="167"/>
      <c r="BW355" s="167"/>
      <c r="BX355" s="167"/>
      <c r="BY355" s="167"/>
      <c r="BZ355" s="167"/>
      <c r="CA355" s="167"/>
      <c r="CB355" s="167"/>
      <c r="CC355" s="167"/>
      <c r="CD355" s="167"/>
      <c r="CE355" s="167"/>
      <c r="CF355" s="167"/>
      <c r="CG355" s="167"/>
      <c r="CH355" s="167"/>
      <c r="CI355" s="167"/>
      <c r="CJ355" s="167"/>
      <c r="CK355" s="167"/>
      <c r="CL355" s="167"/>
      <c r="CM355" s="167"/>
      <c r="CN355" s="167"/>
      <c r="CO355" s="167"/>
      <c r="CP355" s="167"/>
    </row>
    <row r="356" spans="1:94" x14ac:dyDescent="0.2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241"/>
      <c r="BL356" s="167"/>
      <c r="BM356" s="167"/>
      <c r="BN356" s="167"/>
      <c r="BO356" s="167"/>
      <c r="BP356" s="167"/>
      <c r="BQ356" s="167"/>
      <c r="BR356" s="169" t="s">
        <v>18</v>
      </c>
      <c r="BS356" s="167"/>
      <c r="BT356" s="167"/>
      <c r="BU356" s="167"/>
      <c r="BV356" s="167"/>
      <c r="BW356" s="167"/>
      <c r="BX356" s="167"/>
      <c r="BY356" s="167"/>
      <c r="BZ356" s="167"/>
      <c r="CA356" s="167"/>
      <c r="CB356" s="167"/>
      <c r="CC356" s="167"/>
      <c r="CD356" s="167"/>
      <c r="CE356" s="167"/>
      <c r="CF356" s="167"/>
      <c r="CG356" s="167"/>
      <c r="CH356" s="167"/>
      <c r="CI356" s="167"/>
      <c r="CJ356" s="167"/>
      <c r="CK356" s="167"/>
      <c r="CL356" s="167"/>
      <c r="CM356" s="167"/>
      <c r="CN356" s="167"/>
      <c r="CO356" s="167"/>
      <c r="CP356" s="167"/>
    </row>
    <row r="357" spans="1:94" x14ac:dyDescent="0.2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241"/>
      <c r="BL357" s="167"/>
      <c r="BM357" s="167"/>
      <c r="BN357" s="167"/>
      <c r="BO357" s="167"/>
      <c r="BP357" s="167"/>
      <c r="BQ357" s="167"/>
      <c r="BR357" s="169" t="s">
        <v>18</v>
      </c>
      <c r="BS357" s="167"/>
      <c r="BT357" s="167"/>
      <c r="BU357" s="167"/>
      <c r="BV357" s="167"/>
      <c r="BW357" s="167"/>
      <c r="BX357" s="167"/>
      <c r="BY357" s="167"/>
      <c r="BZ357" s="167"/>
      <c r="CA357" s="167"/>
      <c r="CB357" s="167"/>
      <c r="CC357" s="167"/>
      <c r="CD357" s="167"/>
      <c r="CE357" s="167"/>
      <c r="CF357" s="167"/>
      <c r="CG357" s="167"/>
      <c r="CH357" s="167"/>
      <c r="CI357" s="167"/>
      <c r="CJ357" s="167"/>
      <c r="CK357" s="167"/>
      <c r="CL357" s="167"/>
      <c r="CM357" s="167"/>
      <c r="CN357" s="167"/>
      <c r="CO357" s="167"/>
      <c r="CP357" s="167"/>
    </row>
    <row r="358" spans="1:94" x14ac:dyDescent="0.2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241"/>
      <c r="BL358" s="167"/>
      <c r="BM358" s="167"/>
      <c r="BN358" s="167"/>
      <c r="BO358" s="167"/>
      <c r="BP358" s="167"/>
      <c r="BQ358" s="167"/>
      <c r="BR358" s="169" t="s">
        <v>18</v>
      </c>
      <c r="BS358" s="167"/>
      <c r="BT358" s="167"/>
      <c r="BU358" s="167"/>
      <c r="BV358" s="167"/>
      <c r="BW358" s="167"/>
      <c r="BX358" s="167"/>
      <c r="BY358" s="167"/>
      <c r="BZ358" s="167"/>
      <c r="CA358" s="167"/>
      <c r="CB358" s="167"/>
      <c r="CC358" s="167"/>
      <c r="CD358" s="167"/>
      <c r="CE358" s="167"/>
      <c r="CF358" s="167"/>
      <c r="CG358" s="167"/>
      <c r="CH358" s="167"/>
      <c r="CI358" s="167"/>
      <c r="CJ358" s="167"/>
      <c r="CK358" s="167"/>
      <c r="CL358" s="167"/>
      <c r="CM358" s="167"/>
      <c r="CN358" s="167"/>
      <c r="CO358" s="167"/>
      <c r="CP358" s="167"/>
    </row>
    <row r="359" spans="1:94" x14ac:dyDescent="0.2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241"/>
      <c r="BL359" s="167"/>
      <c r="BM359" s="167"/>
      <c r="BN359" s="167"/>
      <c r="BO359" s="167"/>
      <c r="BP359" s="167"/>
      <c r="BQ359" s="167"/>
      <c r="BR359" s="169" t="s">
        <v>18</v>
      </c>
      <c r="BS359" s="167"/>
      <c r="BT359" s="167"/>
      <c r="BU359" s="167"/>
      <c r="BV359" s="167"/>
      <c r="BW359" s="167"/>
      <c r="BX359" s="167"/>
      <c r="BY359" s="167"/>
      <c r="BZ359" s="167"/>
      <c r="CA359" s="167"/>
      <c r="CB359" s="167"/>
      <c r="CC359" s="167"/>
      <c r="CD359" s="167"/>
      <c r="CE359" s="167"/>
      <c r="CF359" s="167"/>
      <c r="CG359" s="167"/>
      <c r="CH359" s="167"/>
      <c r="CI359" s="167"/>
      <c r="CJ359" s="167"/>
      <c r="CK359" s="167"/>
      <c r="CL359" s="167"/>
      <c r="CM359" s="167"/>
      <c r="CN359" s="167"/>
      <c r="CO359" s="167"/>
      <c r="CP359" s="167"/>
    </row>
    <row r="360" spans="1:94" x14ac:dyDescent="0.2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241"/>
      <c r="BL360" s="167"/>
      <c r="BM360" s="167"/>
      <c r="BN360" s="167"/>
      <c r="BO360" s="167"/>
      <c r="BP360" s="167"/>
      <c r="BQ360" s="167"/>
      <c r="BR360" s="169" t="s">
        <v>18</v>
      </c>
      <c r="BS360" s="167"/>
      <c r="BT360" s="167"/>
      <c r="BU360" s="167"/>
      <c r="BV360" s="167"/>
      <c r="BW360" s="167"/>
      <c r="BX360" s="167"/>
      <c r="BY360" s="167"/>
      <c r="BZ360" s="167"/>
      <c r="CA360" s="167"/>
      <c r="CB360" s="167"/>
      <c r="CC360" s="167"/>
      <c r="CD360" s="167"/>
      <c r="CE360" s="167"/>
      <c r="CF360" s="167"/>
      <c r="CG360" s="167"/>
      <c r="CH360" s="167"/>
      <c r="CI360" s="167"/>
      <c r="CJ360" s="167"/>
      <c r="CK360" s="167"/>
      <c r="CL360" s="167"/>
      <c r="CM360" s="167"/>
      <c r="CN360" s="167"/>
      <c r="CO360" s="167"/>
      <c r="CP360" s="167"/>
    </row>
    <row r="361" spans="1:94" x14ac:dyDescent="0.2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241"/>
      <c r="BL361" s="167"/>
      <c r="BM361" s="167"/>
      <c r="BN361" s="167"/>
      <c r="BO361" s="167"/>
      <c r="BP361" s="167"/>
      <c r="BQ361" s="167"/>
      <c r="BR361" s="169" t="s">
        <v>18</v>
      </c>
      <c r="BS361" s="167"/>
      <c r="BT361" s="167"/>
      <c r="BU361" s="167"/>
      <c r="BV361" s="167"/>
      <c r="BW361" s="167"/>
      <c r="BX361" s="167"/>
      <c r="BY361" s="167"/>
      <c r="BZ361" s="167"/>
      <c r="CA361" s="167"/>
      <c r="CB361" s="167"/>
      <c r="CC361" s="167"/>
      <c r="CD361" s="167"/>
      <c r="CE361" s="167"/>
      <c r="CF361" s="167"/>
      <c r="CG361" s="167"/>
      <c r="CH361" s="167"/>
      <c r="CI361" s="167"/>
      <c r="CJ361" s="167"/>
      <c r="CK361" s="167"/>
      <c r="CL361" s="167"/>
      <c r="CM361" s="167"/>
      <c r="CN361" s="167"/>
      <c r="CO361" s="167"/>
      <c r="CP361" s="167"/>
    </row>
    <row r="362" spans="1:94" x14ac:dyDescent="0.2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241"/>
      <c r="BL362" s="167"/>
      <c r="BM362" s="167"/>
      <c r="BN362" s="167"/>
      <c r="BO362" s="167"/>
      <c r="BP362" s="167"/>
      <c r="BQ362" s="167"/>
      <c r="BR362" s="169" t="s">
        <v>18</v>
      </c>
      <c r="BS362" s="167"/>
      <c r="BT362" s="167"/>
      <c r="BU362" s="167"/>
      <c r="BV362" s="167"/>
      <c r="BW362" s="167"/>
      <c r="BX362" s="167"/>
      <c r="BY362" s="167"/>
      <c r="BZ362" s="167"/>
      <c r="CA362" s="167"/>
      <c r="CB362" s="167"/>
      <c r="CC362" s="167"/>
      <c r="CD362" s="167"/>
      <c r="CE362" s="167"/>
      <c r="CF362" s="167"/>
      <c r="CG362" s="167"/>
      <c r="CH362" s="167"/>
      <c r="CI362" s="167"/>
      <c r="CJ362" s="167"/>
      <c r="CK362" s="167"/>
      <c r="CL362" s="167"/>
      <c r="CM362" s="167"/>
      <c r="CN362" s="167"/>
      <c r="CO362" s="167"/>
      <c r="CP362" s="167"/>
    </row>
    <row r="363" spans="1:94" x14ac:dyDescent="0.2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241"/>
      <c r="BL363" s="167"/>
      <c r="BM363" s="167"/>
      <c r="BN363" s="167"/>
      <c r="BO363" s="167"/>
      <c r="BP363" s="167"/>
      <c r="BQ363" s="167"/>
      <c r="BR363" s="169" t="s">
        <v>18</v>
      </c>
      <c r="BS363" s="167"/>
      <c r="BT363" s="167"/>
      <c r="BU363" s="167"/>
      <c r="BV363" s="167"/>
      <c r="BW363" s="167"/>
      <c r="BX363" s="167"/>
      <c r="BY363" s="167"/>
      <c r="BZ363" s="167"/>
      <c r="CA363" s="167"/>
      <c r="CB363" s="167"/>
      <c r="CC363" s="167"/>
      <c r="CD363" s="167"/>
      <c r="CE363" s="167"/>
      <c r="CF363" s="167"/>
      <c r="CG363" s="167"/>
      <c r="CH363" s="167"/>
      <c r="CI363" s="167"/>
      <c r="CJ363" s="167"/>
      <c r="CK363" s="167"/>
      <c r="CL363" s="167"/>
      <c r="CM363" s="167"/>
      <c r="CN363" s="167"/>
      <c r="CO363" s="167"/>
      <c r="CP363" s="167"/>
    </row>
    <row r="364" spans="1:94" x14ac:dyDescent="0.2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241"/>
      <c r="BL364" s="167"/>
      <c r="BM364" s="167"/>
      <c r="BN364" s="167"/>
      <c r="BO364" s="167"/>
      <c r="BP364" s="167"/>
      <c r="BQ364" s="167"/>
      <c r="BR364" s="169" t="s">
        <v>18</v>
      </c>
      <c r="BS364" s="167"/>
      <c r="BT364" s="167"/>
      <c r="BU364" s="167"/>
      <c r="BV364" s="167"/>
      <c r="BW364" s="167"/>
      <c r="BX364" s="167"/>
      <c r="BY364" s="167"/>
      <c r="BZ364" s="167"/>
      <c r="CA364" s="167"/>
      <c r="CB364" s="167"/>
      <c r="CC364" s="167"/>
      <c r="CD364" s="167"/>
      <c r="CE364" s="167"/>
      <c r="CF364" s="167"/>
      <c r="CG364" s="167"/>
      <c r="CH364" s="167"/>
      <c r="CI364" s="167"/>
      <c r="CJ364" s="167"/>
      <c r="CK364" s="167"/>
      <c r="CL364" s="167"/>
      <c r="CM364" s="167"/>
      <c r="CN364" s="167"/>
      <c r="CO364" s="167"/>
      <c r="CP364" s="167"/>
    </row>
    <row r="365" spans="1:94" x14ac:dyDescent="0.2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241"/>
      <c r="BL365" s="167"/>
      <c r="BM365" s="167"/>
      <c r="BN365" s="167"/>
      <c r="BO365" s="167"/>
      <c r="BP365" s="167"/>
      <c r="BQ365" s="167"/>
      <c r="BR365" s="169" t="s">
        <v>18</v>
      </c>
      <c r="BS365" s="167"/>
      <c r="BT365" s="167"/>
      <c r="BU365" s="167"/>
      <c r="BV365" s="167"/>
      <c r="BW365" s="167"/>
      <c r="BX365" s="167"/>
      <c r="BY365" s="167"/>
      <c r="BZ365" s="167"/>
      <c r="CA365" s="167"/>
      <c r="CB365" s="167"/>
      <c r="CC365" s="167"/>
      <c r="CD365" s="167"/>
      <c r="CE365" s="167"/>
      <c r="CF365" s="167"/>
      <c r="CG365" s="167"/>
      <c r="CH365" s="167"/>
      <c r="CI365" s="167"/>
      <c r="CJ365" s="167"/>
      <c r="CK365" s="167"/>
      <c r="CL365" s="167"/>
      <c r="CM365" s="167"/>
      <c r="CN365" s="167"/>
      <c r="CO365" s="167"/>
      <c r="CP365" s="167"/>
    </row>
    <row r="366" spans="1:94" x14ac:dyDescent="0.2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241"/>
      <c r="BL366" s="167"/>
      <c r="BM366" s="167"/>
      <c r="BN366" s="167"/>
      <c r="BO366" s="167"/>
      <c r="BP366" s="167"/>
      <c r="BQ366" s="167"/>
      <c r="BR366" s="169" t="s">
        <v>18</v>
      </c>
      <c r="BS366" s="167"/>
      <c r="BT366" s="167"/>
      <c r="BU366" s="167"/>
      <c r="BV366" s="167"/>
      <c r="BW366" s="167"/>
      <c r="BX366" s="167"/>
      <c r="BY366" s="167"/>
      <c r="BZ366" s="167"/>
      <c r="CA366" s="167"/>
      <c r="CB366" s="167"/>
      <c r="CC366" s="167"/>
      <c r="CD366" s="167"/>
      <c r="CE366" s="167"/>
      <c r="CF366" s="167"/>
      <c r="CG366" s="167"/>
      <c r="CH366" s="167"/>
      <c r="CI366" s="167"/>
      <c r="CJ366" s="167"/>
      <c r="CK366" s="167"/>
      <c r="CL366" s="167"/>
      <c r="CM366" s="167"/>
      <c r="CN366" s="167"/>
      <c r="CO366" s="167"/>
      <c r="CP366" s="167"/>
    </row>
    <row r="367" spans="1:94" x14ac:dyDescent="0.2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  <c r="BI367" s="167"/>
      <c r="BJ367" s="167"/>
      <c r="BK367" s="241"/>
      <c r="BL367" s="167"/>
      <c r="BM367" s="167"/>
      <c r="BN367" s="167"/>
      <c r="BO367" s="167"/>
      <c r="BP367" s="167"/>
      <c r="BQ367" s="167"/>
      <c r="BR367" s="169" t="s">
        <v>18</v>
      </c>
      <c r="BS367" s="167"/>
      <c r="BT367" s="167"/>
      <c r="BU367" s="167"/>
      <c r="BV367" s="167"/>
      <c r="BW367" s="167"/>
      <c r="BX367" s="167"/>
      <c r="BY367" s="167"/>
      <c r="BZ367" s="167"/>
      <c r="CA367" s="167"/>
      <c r="CB367" s="167"/>
      <c r="CC367" s="167"/>
      <c r="CD367" s="167"/>
      <c r="CE367" s="167"/>
      <c r="CF367" s="167"/>
      <c r="CG367" s="167"/>
      <c r="CH367" s="167"/>
      <c r="CI367" s="167"/>
      <c r="CJ367" s="167"/>
      <c r="CK367" s="167"/>
      <c r="CL367" s="167"/>
      <c r="CM367" s="167"/>
      <c r="CN367" s="167"/>
      <c r="CO367" s="167"/>
      <c r="CP367" s="167"/>
    </row>
    <row r="368" spans="1:94" x14ac:dyDescent="0.2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241"/>
      <c r="BL368" s="167"/>
      <c r="BM368" s="167"/>
      <c r="BN368" s="167"/>
      <c r="BO368" s="167"/>
      <c r="BP368" s="167"/>
      <c r="BQ368" s="167"/>
      <c r="BR368" s="169" t="s">
        <v>18</v>
      </c>
      <c r="BS368" s="167"/>
      <c r="BT368" s="167"/>
      <c r="BU368" s="167"/>
      <c r="BV368" s="167"/>
      <c r="BW368" s="167"/>
      <c r="BX368" s="167"/>
      <c r="BY368" s="167"/>
      <c r="BZ368" s="167"/>
      <c r="CA368" s="167"/>
      <c r="CB368" s="167"/>
      <c r="CC368" s="167"/>
      <c r="CD368" s="167"/>
      <c r="CE368" s="167"/>
      <c r="CF368" s="167"/>
      <c r="CG368" s="167"/>
      <c r="CH368" s="167"/>
      <c r="CI368" s="167"/>
      <c r="CJ368" s="167"/>
      <c r="CK368" s="167"/>
      <c r="CL368" s="167"/>
      <c r="CM368" s="167"/>
      <c r="CN368" s="167"/>
      <c r="CO368" s="167"/>
      <c r="CP368" s="167"/>
    </row>
    <row r="369" spans="1:94" x14ac:dyDescent="0.2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241"/>
      <c r="BL369" s="167"/>
      <c r="BM369" s="167"/>
      <c r="BN369" s="167"/>
      <c r="BO369" s="167"/>
      <c r="BP369" s="167"/>
      <c r="BQ369" s="167"/>
      <c r="BR369" s="169" t="s">
        <v>18</v>
      </c>
      <c r="BS369" s="167"/>
      <c r="BT369" s="167"/>
      <c r="BU369" s="167"/>
      <c r="BV369" s="167"/>
      <c r="BW369" s="167"/>
      <c r="BX369" s="167"/>
      <c r="BY369" s="167"/>
      <c r="BZ369" s="167"/>
      <c r="CA369" s="167"/>
      <c r="CB369" s="167"/>
      <c r="CC369" s="167"/>
      <c r="CD369" s="167"/>
      <c r="CE369" s="167"/>
      <c r="CF369" s="167"/>
      <c r="CG369" s="167"/>
      <c r="CH369" s="167"/>
      <c r="CI369" s="167"/>
      <c r="CJ369" s="167"/>
      <c r="CK369" s="167"/>
      <c r="CL369" s="167"/>
      <c r="CM369" s="167"/>
      <c r="CN369" s="167"/>
      <c r="CO369" s="167"/>
      <c r="CP369" s="167"/>
    </row>
    <row r="370" spans="1:94" x14ac:dyDescent="0.2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241"/>
      <c r="BL370" s="167"/>
      <c r="BM370" s="167"/>
      <c r="BN370" s="167"/>
      <c r="BO370" s="167"/>
      <c r="BP370" s="167"/>
      <c r="BQ370" s="167"/>
      <c r="BR370" s="169" t="s">
        <v>18</v>
      </c>
      <c r="BS370" s="167"/>
      <c r="BT370" s="167"/>
      <c r="BU370" s="167"/>
      <c r="BV370" s="167"/>
      <c r="BW370" s="167"/>
      <c r="BX370" s="167"/>
      <c r="BY370" s="167"/>
      <c r="BZ370" s="167"/>
      <c r="CA370" s="167"/>
      <c r="CB370" s="167"/>
      <c r="CC370" s="167"/>
      <c r="CD370" s="167"/>
      <c r="CE370" s="167"/>
      <c r="CF370" s="167"/>
      <c r="CG370" s="167"/>
      <c r="CH370" s="167"/>
      <c r="CI370" s="167"/>
      <c r="CJ370" s="167"/>
      <c r="CK370" s="167"/>
      <c r="CL370" s="167"/>
      <c r="CM370" s="167"/>
      <c r="CN370" s="167"/>
      <c r="CO370" s="167"/>
      <c r="CP370" s="167"/>
    </row>
    <row r="371" spans="1:94" x14ac:dyDescent="0.2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241"/>
      <c r="BL371" s="167"/>
      <c r="BM371" s="167"/>
      <c r="BN371" s="167"/>
      <c r="BO371" s="167"/>
      <c r="BP371" s="167"/>
      <c r="BQ371" s="167"/>
      <c r="BR371" s="169" t="s">
        <v>18</v>
      </c>
      <c r="BS371" s="167"/>
      <c r="BT371" s="167"/>
      <c r="BU371" s="167"/>
      <c r="BV371" s="167"/>
      <c r="BW371" s="167"/>
      <c r="BX371" s="167"/>
      <c r="BY371" s="167"/>
      <c r="BZ371" s="167"/>
      <c r="CA371" s="167"/>
      <c r="CB371" s="167"/>
      <c r="CC371" s="167"/>
      <c r="CD371" s="167"/>
      <c r="CE371" s="167"/>
      <c r="CF371" s="167"/>
      <c r="CG371" s="167"/>
      <c r="CH371" s="167"/>
      <c r="CI371" s="167"/>
      <c r="CJ371" s="167"/>
      <c r="CK371" s="167"/>
      <c r="CL371" s="167"/>
      <c r="CM371" s="167"/>
      <c r="CN371" s="167"/>
      <c r="CO371" s="167"/>
      <c r="CP371" s="167"/>
    </row>
    <row r="372" spans="1:94" x14ac:dyDescent="0.2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241"/>
      <c r="BL372" s="167"/>
      <c r="BM372" s="167"/>
      <c r="BN372" s="167"/>
      <c r="BO372" s="167"/>
      <c r="BP372" s="167"/>
      <c r="BQ372" s="167"/>
      <c r="BR372" s="169" t="s">
        <v>18</v>
      </c>
      <c r="BS372" s="167"/>
      <c r="BT372" s="167"/>
      <c r="BU372" s="167"/>
      <c r="BV372" s="167"/>
      <c r="BW372" s="167"/>
      <c r="BX372" s="167"/>
      <c r="BY372" s="167"/>
      <c r="BZ372" s="167"/>
      <c r="CA372" s="167"/>
      <c r="CB372" s="167"/>
      <c r="CC372" s="167"/>
      <c r="CD372" s="167"/>
      <c r="CE372" s="167"/>
      <c r="CF372" s="167"/>
      <c r="CG372" s="167"/>
      <c r="CH372" s="167"/>
      <c r="CI372" s="167"/>
      <c r="CJ372" s="167"/>
      <c r="CK372" s="167"/>
      <c r="CL372" s="167"/>
      <c r="CM372" s="167"/>
      <c r="CN372" s="167"/>
      <c r="CO372" s="167"/>
      <c r="CP372" s="167"/>
    </row>
    <row r="373" spans="1:94" x14ac:dyDescent="0.2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241"/>
      <c r="BL373" s="167"/>
      <c r="BM373" s="167"/>
      <c r="BN373" s="167"/>
      <c r="BO373" s="167"/>
      <c r="BP373" s="167"/>
      <c r="BQ373" s="167"/>
      <c r="BR373" s="169" t="s">
        <v>18</v>
      </c>
      <c r="BS373" s="167"/>
      <c r="BT373" s="167"/>
      <c r="BU373" s="167"/>
      <c r="BV373" s="167"/>
      <c r="BW373" s="167"/>
      <c r="BX373" s="167"/>
      <c r="BY373" s="167"/>
      <c r="BZ373" s="167"/>
      <c r="CA373" s="167"/>
      <c r="CB373" s="167"/>
      <c r="CC373" s="167"/>
      <c r="CD373" s="167"/>
      <c r="CE373" s="167"/>
      <c r="CF373" s="167"/>
      <c r="CG373" s="167"/>
      <c r="CH373" s="167"/>
      <c r="CI373" s="167"/>
      <c r="CJ373" s="167"/>
      <c r="CK373" s="167"/>
      <c r="CL373" s="167"/>
      <c r="CM373" s="167"/>
      <c r="CN373" s="167"/>
      <c r="CO373" s="167"/>
      <c r="CP373" s="167"/>
    </row>
    <row r="374" spans="1:94" x14ac:dyDescent="0.2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241"/>
      <c r="BL374" s="167"/>
      <c r="BM374" s="167"/>
      <c r="BN374" s="167"/>
      <c r="BO374" s="167"/>
      <c r="BP374" s="167"/>
      <c r="BQ374" s="167"/>
      <c r="BR374" s="169" t="s">
        <v>18</v>
      </c>
      <c r="BS374" s="167"/>
      <c r="BT374" s="167"/>
      <c r="BU374" s="167"/>
      <c r="BV374" s="167"/>
      <c r="BW374" s="167"/>
      <c r="BX374" s="167"/>
      <c r="BY374" s="167"/>
      <c r="BZ374" s="167"/>
      <c r="CA374" s="167"/>
      <c r="CB374" s="167"/>
      <c r="CC374" s="167"/>
      <c r="CD374" s="167"/>
      <c r="CE374" s="167"/>
      <c r="CF374" s="167"/>
      <c r="CG374" s="167"/>
      <c r="CH374" s="167"/>
      <c r="CI374" s="167"/>
      <c r="CJ374" s="167"/>
      <c r="CK374" s="167"/>
      <c r="CL374" s="167"/>
      <c r="CM374" s="167"/>
      <c r="CN374" s="167"/>
      <c r="CO374" s="167"/>
      <c r="CP374" s="167"/>
    </row>
    <row r="375" spans="1:94" x14ac:dyDescent="0.2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241"/>
      <c r="BL375" s="167"/>
      <c r="BM375" s="167"/>
      <c r="BN375" s="167"/>
      <c r="BO375" s="167"/>
      <c r="BP375" s="167"/>
      <c r="BQ375" s="167"/>
      <c r="BR375" s="169" t="s">
        <v>18</v>
      </c>
      <c r="BS375" s="167"/>
      <c r="BT375" s="167"/>
      <c r="BU375" s="167"/>
      <c r="BV375" s="167"/>
      <c r="BW375" s="167"/>
      <c r="BX375" s="167"/>
      <c r="BY375" s="167"/>
      <c r="BZ375" s="167"/>
      <c r="CA375" s="167"/>
      <c r="CB375" s="167"/>
      <c r="CC375" s="167"/>
      <c r="CD375" s="167"/>
      <c r="CE375" s="167"/>
      <c r="CF375" s="167"/>
      <c r="CG375" s="167"/>
      <c r="CH375" s="167"/>
      <c r="CI375" s="167"/>
      <c r="CJ375" s="167"/>
      <c r="CK375" s="167"/>
      <c r="CL375" s="167"/>
      <c r="CM375" s="167"/>
      <c r="CN375" s="167"/>
      <c r="CO375" s="167"/>
      <c r="CP375" s="167"/>
    </row>
    <row r="376" spans="1:94" x14ac:dyDescent="0.2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241"/>
      <c r="BL376" s="167"/>
      <c r="BM376" s="167"/>
      <c r="BN376" s="167"/>
      <c r="BO376" s="167"/>
      <c r="BP376" s="167"/>
      <c r="BQ376" s="167"/>
      <c r="BR376" s="169" t="s">
        <v>18</v>
      </c>
      <c r="BS376" s="167"/>
      <c r="BT376" s="167"/>
      <c r="BU376" s="167"/>
      <c r="BV376" s="167"/>
      <c r="BW376" s="167"/>
      <c r="BX376" s="167"/>
      <c r="BY376" s="167"/>
      <c r="BZ376" s="167"/>
      <c r="CA376" s="167"/>
      <c r="CB376" s="167"/>
      <c r="CC376" s="167"/>
      <c r="CD376" s="167"/>
      <c r="CE376" s="167"/>
      <c r="CF376" s="167"/>
      <c r="CG376" s="167"/>
      <c r="CH376" s="167"/>
      <c r="CI376" s="167"/>
      <c r="CJ376" s="167"/>
      <c r="CK376" s="167"/>
      <c r="CL376" s="167"/>
      <c r="CM376" s="167"/>
      <c r="CN376" s="167"/>
      <c r="CO376" s="167"/>
      <c r="CP376" s="167"/>
    </row>
    <row r="377" spans="1:94" x14ac:dyDescent="0.2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241"/>
      <c r="BL377" s="167"/>
      <c r="BM377" s="167"/>
      <c r="BN377" s="167"/>
      <c r="BO377" s="167"/>
      <c r="BP377" s="167"/>
      <c r="BQ377" s="167"/>
      <c r="BR377" s="169" t="s">
        <v>18</v>
      </c>
      <c r="BS377" s="167"/>
      <c r="BT377" s="167"/>
      <c r="BU377" s="167"/>
      <c r="BV377" s="167"/>
      <c r="BW377" s="167"/>
      <c r="BX377" s="167"/>
      <c r="BY377" s="167"/>
      <c r="BZ377" s="167"/>
      <c r="CA377" s="167"/>
      <c r="CB377" s="167"/>
      <c r="CC377" s="167"/>
      <c r="CD377" s="167"/>
      <c r="CE377" s="167"/>
      <c r="CF377" s="167"/>
      <c r="CG377" s="167"/>
      <c r="CH377" s="167"/>
      <c r="CI377" s="167"/>
      <c r="CJ377" s="167"/>
      <c r="CK377" s="167"/>
      <c r="CL377" s="167"/>
      <c r="CM377" s="167"/>
      <c r="CN377" s="167"/>
      <c r="CO377" s="167"/>
      <c r="CP377" s="167"/>
    </row>
    <row r="378" spans="1:94" x14ac:dyDescent="0.2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241"/>
      <c r="BL378" s="167"/>
      <c r="BM378" s="167"/>
      <c r="BN378" s="167"/>
      <c r="BO378" s="167"/>
      <c r="BP378" s="167"/>
      <c r="BQ378" s="167"/>
      <c r="BR378" s="169" t="s">
        <v>18</v>
      </c>
      <c r="BS378" s="167"/>
      <c r="BT378" s="167"/>
      <c r="BU378" s="167"/>
      <c r="BV378" s="167"/>
      <c r="BW378" s="167"/>
      <c r="BX378" s="167"/>
      <c r="BY378" s="167"/>
      <c r="BZ378" s="167"/>
      <c r="CA378" s="167"/>
      <c r="CB378" s="167"/>
      <c r="CC378" s="167"/>
      <c r="CD378" s="167"/>
      <c r="CE378" s="167"/>
      <c r="CF378" s="167"/>
      <c r="CG378" s="167"/>
      <c r="CH378" s="167"/>
      <c r="CI378" s="167"/>
      <c r="CJ378" s="167"/>
      <c r="CK378" s="167"/>
      <c r="CL378" s="167"/>
      <c r="CM378" s="167"/>
      <c r="CN378" s="167"/>
      <c r="CO378" s="167"/>
      <c r="CP378" s="167"/>
    </row>
    <row r="379" spans="1:94" x14ac:dyDescent="0.2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241"/>
      <c r="BL379" s="167"/>
      <c r="BM379" s="167"/>
      <c r="BN379" s="167"/>
      <c r="BO379" s="167"/>
      <c r="BP379" s="167"/>
      <c r="BQ379" s="167"/>
      <c r="BR379" s="169" t="s">
        <v>18</v>
      </c>
      <c r="BS379" s="167"/>
      <c r="BT379" s="167"/>
      <c r="BU379" s="167"/>
      <c r="BV379" s="167"/>
      <c r="BW379" s="167"/>
      <c r="BX379" s="167"/>
      <c r="BY379" s="167"/>
      <c r="BZ379" s="167"/>
      <c r="CA379" s="167"/>
      <c r="CB379" s="167"/>
      <c r="CC379" s="167"/>
      <c r="CD379" s="167"/>
      <c r="CE379" s="167"/>
      <c r="CF379" s="167"/>
      <c r="CG379" s="167"/>
      <c r="CH379" s="167"/>
      <c r="CI379" s="167"/>
      <c r="CJ379" s="167"/>
      <c r="CK379" s="167"/>
      <c r="CL379" s="167"/>
      <c r="CM379" s="167"/>
      <c r="CN379" s="167"/>
      <c r="CO379" s="167"/>
      <c r="CP379" s="167"/>
    </row>
    <row r="380" spans="1:94" x14ac:dyDescent="0.2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241"/>
      <c r="BL380" s="167"/>
      <c r="BM380" s="167"/>
      <c r="BN380" s="167"/>
      <c r="BO380" s="167"/>
      <c r="BP380" s="167"/>
      <c r="BQ380" s="167"/>
      <c r="BR380" s="169" t="s">
        <v>18</v>
      </c>
      <c r="BS380" s="167"/>
      <c r="BT380" s="167"/>
      <c r="BU380" s="167"/>
      <c r="BV380" s="167"/>
      <c r="BW380" s="167"/>
      <c r="BX380" s="167"/>
      <c r="BY380" s="167"/>
      <c r="BZ380" s="167"/>
      <c r="CA380" s="167"/>
      <c r="CB380" s="167"/>
      <c r="CC380" s="167"/>
      <c r="CD380" s="167"/>
      <c r="CE380" s="167"/>
      <c r="CF380" s="167"/>
      <c r="CG380" s="167"/>
      <c r="CH380" s="167"/>
      <c r="CI380" s="167"/>
      <c r="CJ380" s="167"/>
      <c r="CK380" s="167"/>
      <c r="CL380" s="167"/>
      <c r="CM380" s="167"/>
      <c r="CN380" s="167"/>
      <c r="CO380" s="167"/>
      <c r="CP380" s="167"/>
    </row>
    <row r="381" spans="1:94" x14ac:dyDescent="0.2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241"/>
      <c r="BL381" s="167"/>
      <c r="BM381" s="167"/>
      <c r="BN381" s="167"/>
      <c r="BO381" s="167"/>
      <c r="BP381" s="167"/>
      <c r="BQ381" s="167"/>
      <c r="BR381" s="169" t="s">
        <v>18</v>
      </c>
      <c r="BS381" s="167"/>
      <c r="BT381" s="167"/>
      <c r="BU381" s="167"/>
      <c r="BV381" s="167"/>
      <c r="BW381" s="167"/>
      <c r="BX381" s="167"/>
      <c r="BY381" s="167"/>
      <c r="BZ381" s="167"/>
      <c r="CA381" s="167"/>
      <c r="CB381" s="167"/>
      <c r="CC381" s="167"/>
      <c r="CD381" s="167"/>
      <c r="CE381" s="167"/>
      <c r="CF381" s="167"/>
      <c r="CG381" s="167"/>
      <c r="CH381" s="167"/>
      <c r="CI381" s="167"/>
      <c r="CJ381" s="167"/>
      <c r="CK381" s="167"/>
      <c r="CL381" s="167"/>
      <c r="CM381" s="167"/>
      <c r="CN381" s="167"/>
      <c r="CO381" s="167"/>
      <c r="CP381" s="167"/>
    </row>
    <row r="382" spans="1:94" x14ac:dyDescent="0.2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241"/>
      <c r="BL382" s="167"/>
      <c r="BM382" s="167"/>
      <c r="BN382" s="167"/>
      <c r="BO382" s="167"/>
      <c r="BP382" s="167"/>
      <c r="BQ382" s="167"/>
      <c r="BR382" s="169" t="s">
        <v>18</v>
      </c>
      <c r="BS382" s="167"/>
      <c r="BT382" s="167"/>
      <c r="BU382" s="167"/>
      <c r="BV382" s="167"/>
      <c r="BW382" s="167"/>
      <c r="BX382" s="167"/>
      <c r="BY382" s="167"/>
      <c r="BZ382" s="167"/>
      <c r="CA382" s="167"/>
      <c r="CB382" s="167"/>
      <c r="CC382" s="167"/>
      <c r="CD382" s="167"/>
      <c r="CE382" s="167"/>
      <c r="CF382" s="167"/>
      <c r="CG382" s="167"/>
      <c r="CH382" s="167"/>
      <c r="CI382" s="167"/>
      <c r="CJ382" s="167"/>
      <c r="CK382" s="167"/>
      <c r="CL382" s="167"/>
      <c r="CM382" s="167"/>
      <c r="CN382" s="167"/>
      <c r="CO382" s="167"/>
      <c r="CP382" s="167"/>
    </row>
    <row r="383" spans="1:94" x14ac:dyDescent="0.2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241"/>
      <c r="BL383" s="167"/>
      <c r="BM383" s="167"/>
      <c r="BN383" s="167"/>
      <c r="BO383" s="167"/>
      <c r="BP383" s="167"/>
      <c r="BQ383" s="167"/>
      <c r="BR383" s="169" t="s">
        <v>18</v>
      </c>
      <c r="BS383" s="167"/>
      <c r="BT383" s="167"/>
      <c r="BU383" s="167"/>
      <c r="BV383" s="167"/>
      <c r="BW383" s="167"/>
      <c r="BX383" s="167"/>
      <c r="BY383" s="167"/>
      <c r="BZ383" s="167"/>
      <c r="CA383" s="167"/>
      <c r="CB383" s="167"/>
      <c r="CC383" s="167"/>
      <c r="CD383" s="167"/>
      <c r="CE383" s="167"/>
      <c r="CF383" s="167"/>
      <c r="CG383" s="167"/>
      <c r="CH383" s="167"/>
      <c r="CI383" s="167"/>
      <c r="CJ383" s="167"/>
      <c r="CK383" s="167"/>
      <c r="CL383" s="167"/>
      <c r="CM383" s="167"/>
      <c r="CN383" s="167"/>
      <c r="CO383" s="167"/>
      <c r="CP383" s="167"/>
    </row>
    <row r="384" spans="1:94" x14ac:dyDescent="0.2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241"/>
      <c r="BL384" s="167"/>
      <c r="BM384" s="167"/>
      <c r="BN384" s="167"/>
      <c r="BO384" s="167"/>
      <c r="BP384" s="167"/>
      <c r="BQ384" s="167"/>
      <c r="BR384" s="167"/>
      <c r="BS384" s="167"/>
      <c r="BT384" s="167"/>
      <c r="BU384" s="167"/>
      <c r="BV384" s="167"/>
      <c r="BW384" s="167"/>
      <c r="BX384" s="167"/>
      <c r="BY384" s="167"/>
      <c r="BZ384" s="167"/>
      <c r="CA384" s="167"/>
      <c r="CB384" s="167"/>
      <c r="CC384" s="167"/>
      <c r="CD384" s="167"/>
      <c r="CE384" s="167"/>
      <c r="CF384" s="167"/>
      <c r="CG384" s="167"/>
      <c r="CH384" s="167"/>
      <c r="CI384" s="167"/>
      <c r="CJ384" s="167"/>
      <c r="CK384" s="167"/>
      <c r="CL384" s="167"/>
      <c r="CM384" s="167"/>
      <c r="CN384" s="167"/>
      <c r="CO384" s="167"/>
      <c r="CP384" s="167"/>
    </row>
    <row r="385" spans="1:94" x14ac:dyDescent="0.2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241"/>
      <c r="BL385" s="167"/>
      <c r="BM385" s="167"/>
      <c r="BN385" s="167"/>
      <c r="BO385" s="167"/>
      <c r="BP385" s="167"/>
      <c r="BQ385" s="167"/>
      <c r="BR385" s="167"/>
      <c r="BS385" s="167"/>
      <c r="BT385" s="167"/>
      <c r="BU385" s="167"/>
      <c r="BV385" s="167"/>
      <c r="BW385" s="167"/>
      <c r="BX385" s="167"/>
      <c r="BY385" s="167"/>
      <c r="BZ385" s="167"/>
      <c r="CA385" s="167"/>
      <c r="CB385" s="167"/>
      <c r="CC385" s="167"/>
      <c r="CD385" s="167"/>
      <c r="CE385" s="167"/>
      <c r="CF385" s="167"/>
      <c r="CG385" s="167"/>
      <c r="CH385" s="167"/>
      <c r="CI385" s="167"/>
      <c r="CJ385" s="167"/>
      <c r="CK385" s="167"/>
      <c r="CL385" s="167"/>
      <c r="CM385" s="167"/>
      <c r="CN385" s="167"/>
      <c r="CO385" s="167"/>
      <c r="CP385" s="167"/>
    </row>
    <row r="386" spans="1:94" x14ac:dyDescent="0.2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241"/>
      <c r="BL386" s="167"/>
      <c r="BM386" s="167"/>
      <c r="BN386" s="167"/>
      <c r="BO386" s="167"/>
      <c r="BP386" s="167"/>
      <c r="BQ386" s="209"/>
      <c r="BR386" s="167"/>
      <c r="BS386" s="167"/>
      <c r="BT386" s="167"/>
      <c r="BU386" s="167"/>
      <c r="BV386" s="167"/>
      <c r="BW386" s="167"/>
      <c r="BX386" s="167"/>
      <c r="BY386" s="167"/>
      <c r="BZ386" s="167"/>
      <c r="CA386" s="167"/>
      <c r="CB386" s="167"/>
      <c r="CC386" s="167"/>
      <c r="CD386" s="167"/>
      <c r="CE386" s="167"/>
      <c r="CF386" s="167"/>
      <c r="CG386" s="167"/>
      <c r="CH386" s="167"/>
      <c r="CI386" s="167"/>
      <c r="CJ386" s="167"/>
      <c r="CK386" s="167"/>
      <c r="CL386" s="167"/>
      <c r="CM386" s="167"/>
      <c r="CN386" s="167"/>
      <c r="CO386" s="167"/>
      <c r="CP386" s="167"/>
    </row>
    <row r="387" spans="1:94" x14ac:dyDescent="0.2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241"/>
      <c r="BL387" s="167"/>
      <c r="BM387" s="167"/>
      <c r="BN387" s="167"/>
      <c r="BO387" s="167"/>
      <c r="BP387" s="167"/>
      <c r="BQ387" s="209"/>
      <c r="BR387" s="167"/>
      <c r="BS387" s="167"/>
      <c r="BT387" s="167"/>
      <c r="BU387" s="167"/>
      <c r="BV387" s="167"/>
      <c r="BW387" s="167"/>
      <c r="BX387" s="167"/>
      <c r="BY387" s="167"/>
      <c r="BZ387" s="167"/>
      <c r="CA387" s="167"/>
      <c r="CB387" s="167"/>
      <c r="CC387" s="167"/>
      <c r="CD387" s="167"/>
      <c r="CE387" s="167"/>
      <c r="CF387" s="167"/>
      <c r="CG387" s="167"/>
      <c r="CH387" s="167"/>
      <c r="CI387" s="167"/>
      <c r="CJ387" s="167"/>
      <c r="CK387" s="167"/>
      <c r="CL387" s="167"/>
      <c r="CM387" s="167"/>
      <c r="CN387" s="167"/>
      <c r="CO387" s="167"/>
      <c r="CP387" s="167"/>
    </row>
    <row r="388" spans="1:94" x14ac:dyDescent="0.2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241"/>
      <c r="BL388" s="167"/>
      <c r="BM388" s="167"/>
      <c r="BN388" s="167"/>
      <c r="BO388" s="167"/>
      <c r="BP388" s="167"/>
      <c r="BQ388" s="209"/>
      <c r="BR388" s="167"/>
      <c r="BS388" s="167"/>
      <c r="BT388" s="167"/>
      <c r="BU388" s="167"/>
      <c r="BV388" s="167"/>
      <c r="BW388" s="167"/>
      <c r="BX388" s="167"/>
      <c r="BY388" s="167"/>
      <c r="BZ388" s="167"/>
      <c r="CA388" s="167"/>
      <c r="CB388" s="167"/>
      <c r="CC388" s="167"/>
      <c r="CD388" s="167"/>
      <c r="CE388" s="167"/>
      <c r="CF388" s="167"/>
      <c r="CG388" s="167"/>
      <c r="CH388" s="167"/>
      <c r="CI388" s="167"/>
      <c r="CJ388" s="167"/>
      <c r="CK388" s="167"/>
      <c r="CL388" s="167"/>
      <c r="CM388" s="167"/>
      <c r="CN388" s="167"/>
      <c r="CO388" s="167"/>
      <c r="CP388" s="167"/>
    </row>
    <row r="389" spans="1:94" x14ac:dyDescent="0.2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241"/>
      <c r="BL389" s="167"/>
      <c r="BM389" s="167"/>
      <c r="BN389" s="167"/>
      <c r="BO389" s="167"/>
      <c r="BP389" s="167"/>
      <c r="BQ389" s="168"/>
      <c r="BR389" s="167"/>
      <c r="BS389" s="167"/>
      <c r="BT389" s="167"/>
      <c r="BU389" s="167"/>
      <c r="BV389" s="167"/>
      <c r="BW389" s="167"/>
      <c r="BX389" s="167"/>
      <c r="BY389" s="167"/>
      <c r="BZ389" s="167"/>
      <c r="CA389" s="167"/>
      <c r="CB389" s="167"/>
      <c r="CC389" s="167"/>
      <c r="CD389" s="167"/>
      <c r="CE389" s="167"/>
      <c r="CF389" s="167"/>
      <c r="CG389" s="167"/>
      <c r="CH389" s="167"/>
      <c r="CI389" s="167"/>
      <c r="CJ389" s="167"/>
      <c r="CK389" s="167"/>
      <c r="CL389" s="167"/>
      <c r="CM389" s="167"/>
      <c r="CN389" s="167"/>
      <c r="CO389" s="167"/>
      <c r="CP389" s="167"/>
    </row>
    <row r="390" spans="1:94" x14ac:dyDescent="0.2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241"/>
      <c r="BL390" s="167"/>
      <c r="BM390" s="167"/>
      <c r="BN390" s="167"/>
      <c r="BO390" s="167"/>
      <c r="BP390" s="167"/>
      <c r="BQ390" s="168"/>
      <c r="BR390" s="167"/>
      <c r="BS390" s="167"/>
      <c r="BT390" s="167"/>
      <c r="BU390" s="167"/>
      <c r="BV390" s="167"/>
      <c r="BW390" s="167"/>
      <c r="BX390" s="167"/>
      <c r="BY390" s="167"/>
      <c r="BZ390" s="167"/>
      <c r="CA390" s="167"/>
      <c r="CB390" s="167"/>
      <c r="CC390" s="167"/>
      <c r="CD390" s="167"/>
      <c r="CE390" s="167"/>
      <c r="CF390" s="167"/>
      <c r="CG390" s="167"/>
      <c r="CH390" s="167"/>
      <c r="CI390" s="167"/>
      <c r="CJ390" s="167"/>
      <c r="CK390" s="167"/>
      <c r="CL390" s="167"/>
      <c r="CM390" s="167"/>
      <c r="CN390" s="167"/>
      <c r="CO390" s="167"/>
      <c r="CP390" s="167"/>
    </row>
    <row r="391" spans="1:94" x14ac:dyDescent="0.2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241"/>
      <c r="BL391" s="167"/>
      <c r="BM391" s="167"/>
      <c r="BN391" s="167"/>
      <c r="BO391" s="167"/>
      <c r="BP391" s="167"/>
      <c r="BQ391" s="168"/>
      <c r="BR391" s="167"/>
      <c r="BS391" s="167"/>
      <c r="BT391" s="167"/>
      <c r="BU391" s="167"/>
      <c r="BV391" s="167"/>
      <c r="BW391" s="167"/>
      <c r="BX391" s="167"/>
      <c r="BY391" s="167"/>
      <c r="BZ391" s="167"/>
      <c r="CA391" s="167"/>
      <c r="CB391" s="167"/>
      <c r="CC391" s="167"/>
      <c r="CD391" s="167"/>
      <c r="CE391" s="167"/>
      <c r="CF391" s="167"/>
      <c r="CG391" s="167"/>
      <c r="CH391" s="167"/>
      <c r="CI391" s="167"/>
      <c r="CJ391" s="167"/>
      <c r="CK391" s="167"/>
      <c r="CL391" s="167"/>
      <c r="CM391" s="167"/>
      <c r="CN391" s="167"/>
      <c r="CO391" s="167"/>
      <c r="CP391" s="167"/>
    </row>
    <row r="392" spans="1:94" x14ac:dyDescent="0.2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241"/>
      <c r="BL392" s="167"/>
      <c r="BM392" s="167"/>
      <c r="BN392" s="167"/>
      <c r="BO392" s="167"/>
      <c r="BP392" s="167"/>
      <c r="BQ392" s="168"/>
      <c r="BR392" s="167"/>
      <c r="BS392" s="167"/>
      <c r="BT392" s="167"/>
      <c r="BU392" s="167"/>
      <c r="BV392" s="167"/>
      <c r="BW392" s="167"/>
      <c r="BX392" s="167"/>
      <c r="BY392" s="167"/>
      <c r="BZ392" s="167"/>
      <c r="CA392" s="167"/>
      <c r="CB392" s="167"/>
      <c r="CC392" s="167"/>
      <c r="CD392" s="167"/>
      <c r="CE392" s="167"/>
      <c r="CF392" s="167"/>
      <c r="CG392" s="167"/>
      <c r="CH392" s="167"/>
      <c r="CI392" s="167"/>
      <c r="CJ392" s="167"/>
      <c r="CK392" s="167"/>
      <c r="CL392" s="167"/>
      <c r="CM392" s="167"/>
      <c r="CN392" s="167"/>
      <c r="CO392" s="167"/>
      <c r="CP392" s="167"/>
    </row>
    <row r="393" spans="1:94" x14ac:dyDescent="0.2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241"/>
      <c r="BL393" s="167"/>
      <c r="BM393" s="167"/>
      <c r="BN393" s="167"/>
      <c r="BO393" s="167"/>
      <c r="BP393" s="167"/>
      <c r="BQ393" s="168"/>
      <c r="BR393" s="167"/>
      <c r="BS393" s="167"/>
      <c r="BT393" s="167"/>
      <c r="BU393" s="167"/>
      <c r="BV393" s="167"/>
      <c r="BW393" s="167"/>
      <c r="BX393" s="167"/>
      <c r="BY393" s="167"/>
      <c r="BZ393" s="167"/>
      <c r="CA393" s="167"/>
      <c r="CB393" s="167"/>
      <c r="CC393" s="167"/>
      <c r="CD393" s="167"/>
      <c r="CE393" s="167"/>
      <c r="CF393" s="167"/>
      <c r="CG393" s="167"/>
      <c r="CH393" s="167"/>
      <c r="CI393" s="167"/>
      <c r="CJ393" s="167"/>
      <c r="CK393" s="167"/>
      <c r="CL393" s="167"/>
      <c r="CM393" s="167"/>
      <c r="CN393" s="167"/>
      <c r="CO393" s="167"/>
      <c r="CP393" s="167"/>
    </row>
    <row r="394" spans="1:94" x14ac:dyDescent="0.2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241"/>
      <c r="BL394" s="167"/>
      <c r="BM394" s="167"/>
      <c r="BN394" s="167"/>
      <c r="BO394" s="167"/>
      <c r="BP394" s="167"/>
      <c r="BQ394" s="168"/>
      <c r="BR394" s="167"/>
      <c r="BS394" s="167"/>
      <c r="BT394" s="167"/>
      <c r="BU394" s="167"/>
      <c r="BV394" s="167"/>
      <c r="BW394" s="167"/>
      <c r="BX394" s="167"/>
      <c r="BY394" s="167"/>
      <c r="BZ394" s="167"/>
      <c r="CA394" s="167"/>
      <c r="CB394" s="167"/>
      <c r="CC394" s="167"/>
      <c r="CD394" s="167"/>
      <c r="CE394" s="167"/>
      <c r="CF394" s="167"/>
      <c r="CG394" s="167"/>
      <c r="CH394" s="167"/>
      <c r="CI394" s="167"/>
      <c r="CJ394" s="167"/>
      <c r="CK394" s="167"/>
      <c r="CL394" s="167"/>
      <c r="CM394" s="167"/>
      <c r="CN394" s="167"/>
      <c r="CO394" s="167"/>
      <c r="CP394" s="167"/>
    </row>
    <row r="395" spans="1:94" x14ac:dyDescent="0.2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241"/>
      <c r="BL395" s="167"/>
      <c r="BM395" s="167"/>
      <c r="BN395" s="167"/>
      <c r="BO395" s="167"/>
      <c r="BP395" s="167"/>
      <c r="BQ395" s="168"/>
      <c r="BR395" s="167"/>
      <c r="BS395" s="167"/>
      <c r="BT395" s="167"/>
      <c r="BU395" s="167"/>
      <c r="BV395" s="167"/>
      <c r="BW395" s="167"/>
      <c r="BX395" s="167"/>
      <c r="BY395" s="167"/>
      <c r="BZ395" s="167"/>
      <c r="CA395" s="167"/>
      <c r="CB395" s="167"/>
      <c r="CC395" s="167"/>
      <c r="CD395" s="167"/>
      <c r="CE395" s="167"/>
      <c r="CF395" s="167"/>
      <c r="CG395" s="167"/>
      <c r="CH395" s="167"/>
      <c r="CI395" s="167"/>
      <c r="CJ395" s="167"/>
      <c r="CK395" s="167"/>
      <c r="CL395" s="167"/>
      <c r="CM395" s="167"/>
      <c r="CN395" s="167"/>
      <c r="CO395" s="167"/>
      <c r="CP395" s="167"/>
    </row>
    <row r="396" spans="1:94" x14ac:dyDescent="0.2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241"/>
      <c r="BL396" s="168"/>
      <c r="BM396" s="167"/>
      <c r="BN396" s="167"/>
      <c r="BO396" s="204"/>
      <c r="BP396" s="167"/>
      <c r="BQ396" s="168"/>
      <c r="BR396" s="167"/>
      <c r="BS396" s="167"/>
      <c r="BT396" s="167"/>
      <c r="BU396" s="167"/>
      <c r="BV396" s="167"/>
      <c r="BW396" s="167"/>
      <c r="BX396" s="167"/>
      <c r="BY396" s="167"/>
      <c r="BZ396" s="167"/>
      <c r="CA396" s="167"/>
      <c r="CB396" s="167"/>
      <c r="CC396" s="167"/>
      <c r="CD396" s="167"/>
      <c r="CE396" s="167"/>
      <c r="CF396" s="167"/>
      <c r="CG396" s="167"/>
      <c r="CH396" s="167"/>
      <c r="CI396" s="167"/>
      <c r="CJ396" s="167"/>
      <c r="CK396" s="167"/>
      <c r="CL396" s="167"/>
      <c r="CM396" s="167"/>
      <c r="CN396" s="167"/>
      <c r="CO396" s="167"/>
      <c r="CP396" s="167"/>
    </row>
    <row r="397" spans="1:94" x14ac:dyDescent="0.2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241"/>
      <c r="BL397" s="168"/>
      <c r="BM397" s="167"/>
      <c r="BN397" s="167"/>
      <c r="BO397" s="204"/>
      <c r="BP397" s="167"/>
      <c r="BQ397" s="168"/>
      <c r="BR397" s="167"/>
      <c r="BS397" s="167"/>
      <c r="BT397" s="167"/>
      <c r="BU397" s="167"/>
      <c r="BV397" s="167"/>
      <c r="BW397" s="167"/>
      <c r="BX397" s="167"/>
      <c r="BY397" s="167"/>
      <c r="BZ397" s="167"/>
      <c r="CA397" s="167"/>
      <c r="CB397" s="167"/>
      <c r="CC397" s="167"/>
      <c r="CD397" s="167"/>
      <c r="CE397" s="167"/>
      <c r="CF397" s="167"/>
      <c r="CG397" s="167"/>
      <c r="CH397" s="167"/>
      <c r="CI397" s="167"/>
      <c r="CJ397" s="167"/>
      <c r="CK397" s="167"/>
      <c r="CL397" s="167"/>
      <c r="CM397" s="167"/>
      <c r="CN397" s="167"/>
      <c r="CO397" s="167"/>
      <c r="CP397" s="167"/>
    </row>
    <row r="398" spans="1:94" x14ac:dyDescent="0.2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241"/>
      <c r="BL398" s="167"/>
      <c r="BM398" s="167"/>
      <c r="BN398" s="167"/>
      <c r="BO398" s="167"/>
      <c r="BP398" s="167"/>
      <c r="BQ398" s="168"/>
      <c r="BR398" s="167"/>
      <c r="BS398" s="167"/>
      <c r="BT398" s="167"/>
      <c r="BU398" s="167"/>
      <c r="BV398" s="167"/>
      <c r="BW398" s="167"/>
      <c r="BX398" s="167"/>
      <c r="BY398" s="167"/>
      <c r="BZ398" s="167"/>
      <c r="CA398" s="167"/>
      <c r="CB398" s="167"/>
      <c r="CC398" s="167"/>
      <c r="CD398" s="167"/>
      <c r="CE398" s="167"/>
      <c r="CF398" s="167"/>
      <c r="CG398" s="167"/>
      <c r="CH398" s="167"/>
      <c r="CI398" s="167"/>
      <c r="CJ398" s="167"/>
      <c r="CK398" s="167"/>
      <c r="CL398" s="167"/>
      <c r="CM398" s="167"/>
      <c r="CN398" s="167"/>
      <c r="CO398" s="167"/>
      <c r="CP398" s="167"/>
    </row>
    <row r="399" spans="1:94" x14ac:dyDescent="0.2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7"/>
      <c r="BQ399" s="168"/>
      <c r="BR399" s="167"/>
      <c r="BS399" s="167"/>
      <c r="BT399" s="167"/>
      <c r="BU399" s="167"/>
      <c r="BV399" s="167"/>
      <c r="BW399" s="167"/>
      <c r="BX399" s="167"/>
      <c r="BY399" s="167"/>
      <c r="BZ399" s="167"/>
      <c r="CA399" s="167"/>
      <c r="CB399" s="167"/>
      <c r="CC399" s="167"/>
      <c r="CD399" s="167"/>
      <c r="CE399" s="167"/>
      <c r="CF399" s="167"/>
      <c r="CG399" s="167"/>
      <c r="CH399" s="167"/>
      <c r="CI399" s="167"/>
      <c r="CJ399" s="167"/>
      <c r="CK399" s="167"/>
      <c r="CL399" s="167"/>
      <c r="CM399" s="167"/>
      <c r="CN399" s="167"/>
      <c r="CO399" s="167"/>
      <c r="CP399" s="167"/>
    </row>
    <row r="400" spans="1:94" x14ac:dyDescent="0.2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7"/>
      <c r="BQ400" s="168"/>
      <c r="BR400" s="167"/>
      <c r="BS400" s="167"/>
      <c r="BT400" s="167"/>
      <c r="BU400" s="167"/>
      <c r="BV400" s="167"/>
      <c r="BW400" s="167"/>
      <c r="BX400" s="167"/>
      <c r="BY400" s="167"/>
      <c r="BZ400" s="167"/>
      <c r="CA400" s="167"/>
      <c r="CB400" s="167"/>
      <c r="CC400" s="167"/>
      <c r="CD400" s="167"/>
      <c r="CE400" s="167"/>
      <c r="CF400" s="167"/>
      <c r="CG400" s="167"/>
      <c r="CH400" s="167"/>
      <c r="CI400" s="167"/>
      <c r="CJ400" s="167"/>
      <c r="CK400" s="167"/>
      <c r="CL400" s="167"/>
      <c r="CM400" s="167"/>
      <c r="CN400" s="167"/>
      <c r="CO400" s="167"/>
      <c r="CP400" s="167"/>
    </row>
    <row r="401" spans="1:94" x14ac:dyDescent="0.2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7"/>
      <c r="BQ401" s="168"/>
      <c r="BR401" s="167"/>
      <c r="BS401" s="167"/>
      <c r="BT401" s="167"/>
      <c r="BU401" s="167"/>
      <c r="BV401" s="167"/>
      <c r="BW401" s="167"/>
      <c r="BX401" s="167"/>
      <c r="BY401" s="167"/>
      <c r="BZ401" s="167"/>
      <c r="CA401" s="167"/>
      <c r="CB401" s="167"/>
      <c r="CC401" s="167"/>
      <c r="CD401" s="167"/>
      <c r="CE401" s="167"/>
      <c r="CF401" s="167"/>
      <c r="CG401" s="167"/>
      <c r="CH401" s="167"/>
      <c r="CI401" s="167"/>
      <c r="CJ401" s="167"/>
      <c r="CK401" s="167"/>
      <c r="CL401" s="167"/>
      <c r="CM401" s="167"/>
      <c r="CN401" s="167"/>
      <c r="CO401" s="167"/>
      <c r="CP401" s="167"/>
    </row>
    <row r="402" spans="1:94" x14ac:dyDescent="0.2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8"/>
      <c r="BM402" s="167"/>
      <c r="BN402" s="167"/>
      <c r="BO402" s="204"/>
      <c r="BP402" s="167"/>
      <c r="BQ402" s="168"/>
      <c r="BR402" s="167"/>
      <c r="BS402" s="167"/>
      <c r="BT402" s="167"/>
      <c r="BU402" s="167"/>
      <c r="BV402" s="167"/>
      <c r="BW402" s="167"/>
      <c r="BX402" s="167"/>
      <c r="BY402" s="167"/>
      <c r="BZ402" s="167"/>
      <c r="CA402" s="167"/>
      <c r="CB402" s="167"/>
      <c r="CC402" s="167"/>
      <c r="CD402" s="167"/>
      <c r="CE402" s="167"/>
      <c r="CF402" s="167"/>
      <c r="CG402" s="167"/>
      <c r="CH402" s="167"/>
      <c r="CI402" s="167"/>
      <c r="CJ402" s="167"/>
      <c r="CK402" s="167"/>
      <c r="CL402" s="167"/>
      <c r="CM402" s="167"/>
      <c r="CN402" s="167"/>
      <c r="CO402" s="167"/>
      <c r="CP402" s="167"/>
    </row>
    <row r="403" spans="1:94" x14ac:dyDescent="0.2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8"/>
      <c r="BM403" s="167"/>
      <c r="BN403" s="167"/>
      <c r="BO403" s="209"/>
      <c r="BP403" s="168"/>
      <c r="BQ403" s="168"/>
      <c r="BR403" s="167"/>
      <c r="BS403" s="167"/>
      <c r="BT403" s="167"/>
      <c r="BU403" s="167"/>
      <c r="BV403" s="167"/>
      <c r="BW403" s="167"/>
      <c r="BX403" s="167"/>
      <c r="BY403" s="167"/>
      <c r="BZ403" s="167"/>
      <c r="CA403" s="167"/>
      <c r="CB403" s="167"/>
      <c r="CC403" s="167"/>
      <c r="CD403" s="167"/>
      <c r="CE403" s="167"/>
      <c r="CF403" s="167"/>
      <c r="CG403" s="167"/>
      <c r="CH403" s="167"/>
      <c r="CI403" s="167"/>
      <c r="CJ403" s="167"/>
      <c r="CK403" s="167"/>
      <c r="CL403" s="167"/>
      <c r="CM403" s="167"/>
      <c r="CN403" s="167"/>
      <c r="CO403" s="167"/>
      <c r="CP403" s="167"/>
    </row>
    <row r="404" spans="1:94" x14ac:dyDescent="0.2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8"/>
      <c r="BM404" s="167"/>
      <c r="BN404" s="167"/>
      <c r="BO404" s="209"/>
      <c r="BP404" s="168"/>
      <c r="BQ404" s="168"/>
      <c r="BR404" s="167"/>
      <c r="BS404" s="167"/>
      <c r="BT404" s="167"/>
      <c r="BU404" s="167"/>
      <c r="BV404" s="167"/>
      <c r="BW404" s="167"/>
      <c r="BX404" s="167"/>
      <c r="BY404" s="167"/>
      <c r="BZ404" s="167"/>
      <c r="CA404" s="167"/>
      <c r="CB404" s="167"/>
      <c r="CC404" s="167"/>
      <c r="CD404" s="167"/>
      <c r="CE404" s="167"/>
      <c r="CF404" s="167"/>
      <c r="CG404" s="167"/>
      <c r="CH404" s="167"/>
      <c r="CI404" s="167"/>
      <c r="CJ404" s="167"/>
      <c r="CK404" s="167"/>
      <c r="CL404" s="167"/>
      <c r="CM404" s="167"/>
      <c r="CN404" s="167"/>
      <c r="CO404" s="167"/>
      <c r="CP404" s="167"/>
    </row>
    <row r="405" spans="1:94" x14ac:dyDescent="0.2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8"/>
      <c r="BM405" s="167"/>
      <c r="BN405" s="167"/>
      <c r="BO405" s="209"/>
      <c r="BP405" s="168"/>
      <c r="BQ405" s="168"/>
      <c r="BR405" s="167"/>
      <c r="BS405" s="167"/>
      <c r="BT405" s="167"/>
      <c r="BU405" s="167"/>
      <c r="BV405" s="167"/>
      <c r="BW405" s="167"/>
      <c r="BX405" s="167"/>
      <c r="BY405" s="167"/>
      <c r="BZ405" s="167"/>
      <c r="CA405" s="167"/>
      <c r="CB405" s="167"/>
      <c r="CC405" s="167"/>
      <c r="CD405" s="167"/>
      <c r="CE405" s="167"/>
      <c r="CF405" s="167"/>
      <c r="CG405" s="167"/>
      <c r="CH405" s="167"/>
      <c r="CI405" s="167"/>
      <c r="CJ405" s="167"/>
      <c r="CK405" s="167"/>
      <c r="CL405" s="167"/>
      <c r="CM405" s="167"/>
      <c r="CN405" s="167"/>
      <c r="CO405" s="167"/>
      <c r="CP405" s="167"/>
    </row>
    <row r="406" spans="1:94" x14ac:dyDescent="0.2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7"/>
      <c r="BQ406" s="168"/>
      <c r="BR406" s="167"/>
      <c r="BS406" s="167"/>
      <c r="BT406" s="167"/>
      <c r="BU406" s="167"/>
      <c r="BV406" s="167"/>
      <c r="BW406" s="167"/>
      <c r="BX406" s="167"/>
      <c r="BY406" s="167"/>
      <c r="BZ406" s="167"/>
      <c r="CA406" s="167"/>
      <c r="CB406" s="167"/>
      <c r="CC406" s="167"/>
      <c r="CD406" s="167"/>
      <c r="CE406" s="167"/>
      <c r="CF406" s="167"/>
      <c r="CG406" s="167"/>
      <c r="CH406" s="167"/>
      <c r="CI406" s="167"/>
      <c r="CJ406" s="167"/>
      <c r="CK406" s="167"/>
      <c r="CL406" s="167"/>
      <c r="CM406" s="167"/>
      <c r="CN406" s="167"/>
      <c r="CO406" s="167"/>
      <c r="CP406" s="167"/>
    </row>
    <row r="407" spans="1:94" x14ac:dyDescent="0.2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7"/>
      <c r="BQ407" s="168"/>
      <c r="BR407" s="167"/>
      <c r="BS407" s="167"/>
      <c r="BT407" s="167"/>
      <c r="BU407" s="167"/>
      <c r="BV407" s="167"/>
      <c r="BW407" s="167"/>
      <c r="BX407" s="167"/>
      <c r="BY407" s="167"/>
      <c r="BZ407" s="167"/>
      <c r="CA407" s="167"/>
      <c r="CB407" s="167"/>
      <c r="CC407" s="167"/>
      <c r="CD407" s="167"/>
      <c r="CE407" s="167"/>
      <c r="CF407" s="167"/>
      <c r="CG407" s="167"/>
      <c r="CH407" s="167"/>
      <c r="CI407" s="167"/>
      <c r="CJ407" s="167"/>
      <c r="CK407" s="167"/>
      <c r="CL407" s="167"/>
      <c r="CM407" s="167"/>
      <c r="CN407" s="167"/>
      <c r="CO407" s="167"/>
      <c r="CP407" s="167"/>
    </row>
    <row r="408" spans="1:94" x14ac:dyDescent="0.2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  <c r="AF408" s="167"/>
      <c r="AG408" s="167"/>
      <c r="AH408" s="167"/>
      <c r="AI408" s="167"/>
      <c r="AJ408" s="167"/>
      <c r="AK408" s="167"/>
      <c r="AL408" s="167"/>
      <c r="AM408" s="167"/>
      <c r="AN408" s="167"/>
      <c r="AO408" s="167"/>
      <c r="AP408" s="167"/>
      <c r="AQ408" s="167"/>
      <c r="AR408" s="167"/>
      <c r="AS408" s="167"/>
      <c r="AT408" s="167"/>
      <c r="AU408" s="167"/>
      <c r="AV408" s="167"/>
      <c r="AW408" s="167"/>
      <c r="AX408" s="167"/>
      <c r="AY408" s="167"/>
      <c r="AZ408" s="167"/>
      <c r="BA408" s="167"/>
      <c r="BB408" s="167"/>
      <c r="BC408" s="167"/>
      <c r="BD408" s="167"/>
      <c r="BE408" s="167"/>
      <c r="BF408" s="167"/>
      <c r="BG408" s="167"/>
      <c r="BH408" s="167"/>
      <c r="BI408" s="167"/>
      <c r="BJ408" s="167"/>
      <c r="BK408" s="167"/>
      <c r="BL408" s="167"/>
      <c r="BM408" s="167"/>
      <c r="BN408" s="167"/>
      <c r="BO408" s="167"/>
      <c r="BP408" s="167"/>
      <c r="BQ408" s="168"/>
      <c r="BR408" s="167"/>
      <c r="BS408" s="167"/>
      <c r="BT408" s="167"/>
      <c r="BU408" s="167"/>
      <c r="BV408" s="167"/>
      <c r="BW408" s="167"/>
      <c r="BX408" s="167"/>
      <c r="BY408" s="167"/>
      <c r="BZ408" s="167"/>
      <c r="CA408" s="167"/>
      <c r="CB408" s="167"/>
      <c r="CC408" s="167"/>
      <c r="CD408" s="167"/>
      <c r="CE408" s="167"/>
      <c r="CF408" s="167"/>
      <c r="CG408" s="167"/>
      <c r="CH408" s="167"/>
      <c r="CI408" s="167"/>
      <c r="CJ408" s="167"/>
      <c r="CK408" s="167"/>
      <c r="CL408" s="167"/>
      <c r="CM408" s="167"/>
      <c r="CN408" s="167"/>
      <c r="CO408" s="167"/>
      <c r="CP408" s="167"/>
    </row>
    <row r="409" spans="1:94" x14ac:dyDescent="0.2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7"/>
      <c r="BN409" s="167"/>
      <c r="BO409" s="167"/>
      <c r="BP409" s="167"/>
      <c r="BQ409" s="168"/>
      <c r="BR409" s="167"/>
      <c r="BS409" s="167"/>
      <c r="BT409" s="167"/>
      <c r="BU409" s="167"/>
      <c r="BV409" s="167"/>
      <c r="BW409" s="167"/>
      <c r="BX409" s="167"/>
      <c r="BY409" s="167"/>
      <c r="BZ409" s="167"/>
      <c r="CA409" s="167"/>
      <c r="CB409" s="167"/>
      <c r="CC409" s="167"/>
      <c r="CD409" s="167"/>
      <c r="CE409" s="167"/>
      <c r="CF409" s="167"/>
      <c r="CG409" s="167"/>
      <c r="CH409" s="167"/>
      <c r="CI409" s="167"/>
      <c r="CJ409" s="167"/>
      <c r="CK409" s="167"/>
      <c r="CL409" s="167"/>
      <c r="CM409" s="167"/>
      <c r="CN409" s="167"/>
      <c r="CO409" s="167"/>
      <c r="CP409" s="167"/>
    </row>
    <row r="410" spans="1:94" x14ac:dyDescent="0.2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7"/>
      <c r="BN410" s="167"/>
      <c r="BO410" s="167"/>
      <c r="BP410" s="167"/>
      <c r="BQ410" s="168"/>
      <c r="BR410" s="167"/>
      <c r="BS410" s="167"/>
      <c r="BT410" s="167"/>
      <c r="BU410" s="167"/>
      <c r="BV410" s="167"/>
      <c r="BW410" s="167"/>
      <c r="BX410" s="167"/>
      <c r="BY410" s="167"/>
      <c r="BZ410" s="167"/>
      <c r="CA410" s="167"/>
      <c r="CB410" s="167"/>
      <c r="CC410" s="167"/>
      <c r="CD410" s="167"/>
      <c r="CE410" s="167"/>
      <c r="CF410" s="167"/>
      <c r="CG410" s="167"/>
      <c r="CH410" s="167"/>
      <c r="CI410" s="167"/>
      <c r="CJ410" s="167"/>
      <c r="CK410" s="167"/>
      <c r="CL410" s="167"/>
      <c r="CM410" s="167"/>
      <c r="CN410" s="167"/>
      <c r="CO410" s="167"/>
      <c r="CP410" s="167"/>
    </row>
    <row r="411" spans="1:94" x14ac:dyDescent="0.2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7"/>
      <c r="BN411" s="167"/>
      <c r="BO411" s="167"/>
      <c r="BP411" s="167"/>
      <c r="BQ411" s="168"/>
      <c r="BR411" s="167"/>
      <c r="BS411" s="167"/>
      <c r="BT411" s="167"/>
      <c r="BU411" s="167"/>
      <c r="BV411" s="167"/>
      <c r="BW411" s="167"/>
      <c r="BX411" s="167"/>
      <c r="BY411" s="167"/>
      <c r="BZ411" s="167"/>
      <c r="CA411" s="167"/>
      <c r="CB411" s="167"/>
      <c r="CC411" s="167"/>
      <c r="CD411" s="167"/>
      <c r="CE411" s="167"/>
      <c r="CF411" s="167"/>
      <c r="CG411" s="167"/>
      <c r="CH411" s="167"/>
      <c r="CI411" s="167"/>
      <c r="CJ411" s="167"/>
      <c r="CK411" s="167"/>
      <c r="CL411" s="167"/>
      <c r="CM411" s="167"/>
      <c r="CN411" s="167"/>
      <c r="CO411" s="167"/>
      <c r="CP411" s="167"/>
    </row>
    <row r="412" spans="1:94" x14ac:dyDescent="0.2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7"/>
      <c r="BN412" s="167"/>
      <c r="BO412" s="167"/>
      <c r="BP412" s="167"/>
      <c r="BQ412" s="167"/>
      <c r="BR412" s="167"/>
      <c r="BS412" s="167"/>
      <c r="BT412" s="167"/>
      <c r="BU412" s="167"/>
      <c r="BV412" s="167"/>
      <c r="BW412" s="167"/>
      <c r="BX412" s="167"/>
      <c r="BY412" s="167"/>
      <c r="BZ412" s="167"/>
      <c r="CA412" s="167"/>
      <c r="CB412" s="167"/>
      <c r="CC412" s="167"/>
      <c r="CD412" s="167"/>
      <c r="CE412" s="167"/>
      <c r="CF412" s="167"/>
      <c r="CG412" s="167"/>
      <c r="CH412" s="167"/>
      <c r="CI412" s="167"/>
      <c r="CJ412" s="167"/>
      <c r="CK412" s="167"/>
      <c r="CL412" s="167"/>
      <c r="CM412" s="167"/>
      <c r="CN412" s="167"/>
      <c r="CO412" s="167"/>
      <c r="CP412" s="167"/>
    </row>
  </sheetData>
  <mergeCells count="20">
    <mergeCell ref="H3:K3"/>
    <mergeCell ref="A20:D20"/>
    <mergeCell ref="R3:W3"/>
    <mergeCell ref="H4:H5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A3:F3"/>
    <mergeCell ref="A21:A22"/>
    <mergeCell ref="C21:C22"/>
    <mergeCell ref="D21:D22"/>
    <mergeCell ref="G37:H38"/>
    <mergeCell ref="Z62:AG62"/>
    <mergeCell ref="B21:B22"/>
  </mergeCells>
  <printOptions horizontalCentered="1"/>
  <pageMargins left="0.41" right="0.3" top="0.84" bottom="0.45" header="0.55000000000000004" footer="0.48"/>
  <pageSetup scale="85" orientation="landscape" r:id="rId1"/>
  <headerFooter alignWithMargins="0"/>
  <rowBreaks count="5" manualBreakCount="5">
    <brk id="7" min="46" max="51" man="1"/>
    <brk id="81" min="46" max="51" man="1"/>
    <brk id="142" min="46" max="51" man="1"/>
    <brk id="209" min="46" max="51" man="1"/>
    <brk id="251" min="46" max="51" man="1"/>
  </rowBreaks>
  <colBreaks count="2" manualBreakCount="2">
    <brk id="12" max="31" man="1"/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Comet</vt:lpstr>
      <vt:lpstr>Paints</vt:lpstr>
      <vt:lpstr>Solvent Breakdown</vt:lpstr>
      <vt:lpstr>Total Solvents</vt:lpstr>
      <vt:lpstr>Particulate</vt:lpstr>
      <vt:lpstr>Utilities, NO</vt:lpstr>
      <vt:lpstr>Comet!Print_Area</vt:lpstr>
      <vt:lpstr>Paints!Print_Area</vt:lpstr>
      <vt:lpstr>Particulate!Print_Area</vt:lpstr>
      <vt:lpstr>'Solvent Breakdown'!Print_Area</vt:lpstr>
      <vt:lpstr>'Utilities, NO'!Print_Area</vt:lpstr>
      <vt:lpstr>'Solvent Breakdown'!Print_Titles</vt:lpstr>
      <vt:lpstr>'Total Solvents'!Print_Titles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J S</cp:lastModifiedBy>
  <cp:lastPrinted>2022-04-28T19:37:17Z</cp:lastPrinted>
  <dcterms:created xsi:type="dcterms:W3CDTF">2013-03-29T16:10:09Z</dcterms:created>
  <dcterms:modified xsi:type="dcterms:W3CDTF">2024-02-27T18:01:24Z</dcterms:modified>
</cp:coreProperties>
</file>